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queryTables/queryTable1.xml" ContentType="application/vnd.openxmlformats-officedocument.spreadsheetml.query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N:\FndAid27\2026 08\"/>
    </mc:Choice>
  </mc:AlternateContent>
  <xr:revisionPtr revIDLastSave="0" documentId="13_ncr:1_{2D577ABC-E8BC-4326-A8DA-36E4421FA137}" xr6:coauthVersionLast="47" xr6:coauthVersionMax="47" xr10:uidLastSave="{00000000-0000-0000-0000-000000000000}"/>
  <bookViews>
    <workbookView xWindow="57480" yWindow="-825" windowWidth="29040" windowHeight="17520" xr2:uid="{00000000-000D-0000-FFFF-FFFF00000000}"/>
  </bookViews>
  <sheets>
    <sheet name="Worksheet" sheetId="1" r:id="rId1"/>
    <sheet name="Payment" sheetId="5" state="hidden" r:id="rId2"/>
    <sheet name="Factors" sheetId="2" state="hidden" r:id="rId3"/>
    <sheet name="Dataset" sheetId="6" state="hidden" r:id="rId4"/>
    <sheet name="Data2" sheetId="4" state="hidden" r:id="rId5"/>
    <sheet name="ImportFileSpec" sheetId="17" state="hidden" r:id="rId6"/>
    <sheet name="Export" sheetId="7" state="hidden" r:id="rId7"/>
    <sheet name="Prior" sheetId="15" state="hidden" r:id="rId8"/>
    <sheet name="Lkp" sheetId="18" state="hidden" r:id="rId9"/>
    <sheet name="Procedure" sheetId="19" state="hidden" r:id="rId10"/>
  </sheets>
  <definedNames>
    <definedName name="_ADM16">Data2!$AA$1</definedName>
    <definedName name="_ADM78">Data2!$AB$1</definedName>
    <definedName name="_ADM912">Data2!$AC$1</definedName>
    <definedName name="_xlnm._FilterDatabase" localSheetId="4" hidden="1">Data2!$A$4:$BF$210</definedName>
    <definedName name="_xlnm._FilterDatabase" localSheetId="7" hidden="1">Prior!$A$2:$L$2</definedName>
    <definedName name="_xlnm._FilterDatabase" localSheetId="0" hidden="1">Worksheet!$D$60:$F$67</definedName>
    <definedName name="AdjAmt">Payment!$F$26:$F$27</definedName>
    <definedName name="AdjCode">Payment!$B$26:$B$27</definedName>
    <definedName name="ADM">Worksheet!$F$22</definedName>
    <definedName name="ADMAltHS">Data2!$AD$1</definedName>
    <definedName name="ADMKg">Data2!$Z$1</definedName>
    <definedName name="ADMPk">Data2!$Y$1</definedName>
    <definedName name="AltMiddleSchool">Data2!$AJ$1</definedName>
    <definedName name="Baseline">Data2!$J$1</definedName>
    <definedName name="Baselinewsu">Data2!$K$1</definedName>
    <definedName name="BaseRate">Worksheet!$F$50</definedName>
    <definedName name="Clear">Worksheet!$D$16:$D$21,Worksheet!$D$35:$D$35,Worksheet!$D$38:$D$40,Worksheet!$D$41,Worksheet!$D$42,Worksheet!$D$43,Worksheet!$F$81:$F$82,Worksheet!#REF!,Worksheet!$F$90,Worksheet!$F$95:$F$96,Worksheet!$F$122</definedName>
    <definedName name="Clear1">Worksheet!$D$16:$D$21,Worksheet!$D$35:$D$35,Worksheet!$D$38:$D$43,Worksheet!$F$63:$F$64,Worksheet!#REF!,Worksheet!#REF!,Worksheet!#REF!,Worksheet!#REF!,Worksheet!#REF!,Worksheet!#REF!,Worksheet!$F$81:$F$82,Worksheet!#REF!,Worksheet!$F$90,Worksheet!$F$95:$F$96,Worksheet!$D$104:$D$105,Worksheet!$D$106,Worksheet!$D$107:$D$108,Worksheet!$D$109,Worksheet!$D$110:$D$111,Worksheet!$D$112,Worksheet!#REF!,Worksheet!$F$116,Worksheet!#REF!</definedName>
    <definedName name="CoDist">Worksheet!$C$7</definedName>
    <definedName name="CountyRevenue">Data2!$T$1</definedName>
    <definedName name="Data1">Data2!$4:$210</definedName>
    <definedName name="Data2">Data2!$4:$210</definedName>
    <definedName name="DateLn">Payment!$D$26:$D$27</definedName>
    <definedName name="Dname">Data2!$E$1</definedName>
    <definedName name="Dtype">Data2!$F$1</definedName>
    <definedName name="EFB">Data2!$Q$1</definedName>
    <definedName name="EFBAdd">50000</definedName>
    <definedName name="EFBPercent">0.35</definedName>
    <definedName name="ELLLevel1">Data2!$AE$1</definedName>
    <definedName name="ELLLevel2">Data2!$AF$1</definedName>
    <definedName name="ELLLevel3">Data2!$AG$1</definedName>
    <definedName name="ESYSpEd">Data2!$AR$1</definedName>
    <definedName name="Expend">Data2!$R$1</definedName>
    <definedName name="FactorTable">Factors!$B$3:$F$39</definedName>
    <definedName name="FactorTable2">Factors!$B$43:$F$45</definedName>
    <definedName name="FactorTableR">Factors!$A$49:$F$57</definedName>
    <definedName name="FallEnroll">Data2!$AL$1</definedName>
    <definedName name="FamilyToBus">Data2!$AZ$1</definedName>
    <definedName name="FamilyToSchool">Data2!$AY$1</definedName>
    <definedName name="HomeSch">Data2!$AI$1</definedName>
    <definedName name="IncityRides">Data2!$AX$1</definedName>
    <definedName name="K12Buildings">Data2!$AX$1</definedName>
    <definedName name="LgIncityMiles">Data2!$AW$1</definedName>
    <definedName name="LgMiles">Data2!$AT$1</definedName>
    <definedName name="LgRuns">Data2!$AV$1</definedName>
    <definedName name="LgRuralMiles">Data2!$AT$1</definedName>
    <definedName name="Lkp">Lkp!$A$1:$C$43</definedName>
    <definedName name="LYFallEnroll">Data2!$AN$1</definedName>
    <definedName name="LYOnTime">Data2!$AM$1</definedName>
    <definedName name="MinAdj">0.15</definedName>
    <definedName name="MinAdj1">0.85</definedName>
    <definedName name="MobileHome">Data2!$W$1</definedName>
    <definedName name="NSLPPercent">Data2!$AH$1</definedName>
    <definedName name="OnTime">Data2!$AO$1</definedName>
    <definedName name="PmtLn">Payment!$A$26:$A$27</definedName>
    <definedName name="PmtMonth">Payment!$D$9</definedName>
    <definedName name="PowerSchool">Data2!#REF!</definedName>
    <definedName name="_xlnm.Print_Area" localSheetId="3">Dataset!$A$1:$E$52</definedName>
    <definedName name="_xlnm.Print_Area" localSheetId="0">Worksheet!$A$1:$F$142</definedName>
    <definedName name="_xlnm.Print_Titles" localSheetId="3">Dataset!$1:$5</definedName>
    <definedName name="_xlnm.Print_Titles" localSheetId="5">ImportFileSpec!$2:$3</definedName>
    <definedName name="_xlnm.Print_Titles" localSheetId="1">Payment!$1:$11</definedName>
    <definedName name="PriorCodist">OFFSET(Prior!$B$2,0,0,COUNTA(Prior!$B:$B),1)</definedName>
    <definedName name="priorEducationStabilization">OFFSET(PriorCodist,0,13)</definedName>
    <definedName name="priorIndex">OFFSET(PriorCodist,0,-1)</definedName>
    <definedName name="priorMillLevyReduction">OFFSET(PriorCodist,0,10)</definedName>
    <definedName name="PriorMonth">OFFSET(PriorCodist,0,1)</definedName>
    <definedName name="PriorSeqMonth">OFFSET(PriorCodist,0,2)</definedName>
    <definedName name="priorSpedAgency">OFFSET(PriorCodist,0,6)</definedName>
    <definedName name="priorSpedBoarding">OFFSET(PriorCodist,0,8)</definedName>
    <definedName name="priorSpedGiftedTalented">OFFSET(PriorCodist,0,9)</definedName>
    <definedName name="priorSpedSchool">OFFSET(PriorCodist,0,7)</definedName>
    <definedName name="PriorStateAid">OFFSET(PriorCodist,0,3)</definedName>
    <definedName name="priorStateChildPlacement">OFFSET(PriorCodist,0,5)</definedName>
    <definedName name="PriorTransp">OFFSET(PriorCodist,0,4)</definedName>
    <definedName name="PropTaxAdj">0.8</definedName>
    <definedName name="PYPropertyTaxContribution">Data2!$BB$1</definedName>
    <definedName name="Query_from_Excel" localSheetId="1">Payment!$A$26:$G$27</definedName>
    <definedName name="REANo">Data2!$I$1</definedName>
    <definedName name="RECGrossReceipts">Data2!$V$1</definedName>
    <definedName name="Reorgflag">Data2!$M$1</definedName>
    <definedName name="ResourceCat">Data2!$B$1</definedName>
    <definedName name="RuralRides">Data2!$AU$1</definedName>
    <definedName name="SchoolYear">Data2!$D$1</definedName>
    <definedName name="SIMills">Data2!$O$1</definedName>
    <definedName name="SmIncityMiles">Data2!$AV$1</definedName>
    <definedName name="SmMiles">Data2!$AS$1</definedName>
    <definedName name="SmRuns">Data2!$AU$1</definedName>
    <definedName name="SmRuralMiles">Data2!$AS$1</definedName>
    <definedName name="SpedNo">Data2!$G$1</definedName>
    <definedName name="SpedPercent">Data2!$H$1</definedName>
    <definedName name="SqMiles">Data2!$L$1</definedName>
    <definedName name="SS">Data2!$AQ$1</definedName>
    <definedName name="STVPP">Data2!$BH$213</definedName>
    <definedName name="TaxAdj">Data2!$BJ$1</definedName>
    <definedName name="TaxValue">Data2!$N$1</definedName>
    <definedName name="Telecomm">Data2!$X$1</definedName>
    <definedName name="TotalMills">Data2!$P$1</definedName>
    <definedName name="TransCap90">Data2!$BA$1</definedName>
    <definedName name="TuitionRevenue">Data2!$S$1</definedName>
    <definedName name="USFlood">Data2!$U$1</definedName>
    <definedName name="VendorID">Data2!$C$1</definedName>
    <definedName name="VirADM">Data2!$AK$1</definedName>
    <definedName name="wsu">Worksheet!$F$49</definedName>
    <definedName name="WSUAdj">Data2!$AP$1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 i="15" l="1"/>
  <c r="AP208" i="4" l="1"/>
  <c r="AP207" i="4"/>
  <c r="AP206" i="4"/>
  <c r="AP205" i="4"/>
  <c r="AP204" i="4"/>
  <c r="AP203" i="4"/>
  <c r="AP202" i="4"/>
  <c r="AP199" i="4"/>
  <c r="AP198" i="4"/>
  <c r="AP197" i="4"/>
  <c r="AP196" i="4"/>
  <c r="AP195" i="4"/>
  <c r="AP194" i="4"/>
  <c r="AP193" i="4"/>
  <c r="AP192" i="4"/>
  <c r="AP191" i="4"/>
  <c r="AP189" i="4"/>
  <c r="AP188" i="4"/>
  <c r="AP187" i="4"/>
  <c r="AP186" i="4"/>
  <c r="AP184" i="4"/>
  <c r="AP183" i="4"/>
  <c r="AP182" i="4"/>
  <c r="AP181" i="4"/>
  <c r="AP180" i="4"/>
  <c r="AP177" i="4"/>
  <c r="AP176" i="4"/>
  <c r="AP175" i="4"/>
  <c r="AP174" i="4"/>
  <c r="AP173" i="4"/>
  <c r="AP172" i="4"/>
  <c r="AP169" i="4"/>
  <c r="AP168" i="4"/>
  <c r="AP167" i="4"/>
  <c r="AP166" i="4"/>
  <c r="AP165" i="4"/>
  <c r="AP163" i="4"/>
  <c r="AP162" i="4"/>
  <c r="AP161" i="4"/>
  <c r="AP160" i="4"/>
  <c r="AP159" i="4"/>
  <c r="AP158" i="4"/>
  <c r="AP157" i="4"/>
  <c r="AP155" i="4"/>
  <c r="AP154" i="4"/>
  <c r="AP153" i="4"/>
  <c r="AP152" i="4"/>
  <c r="AP151" i="4"/>
  <c r="AP148" i="4"/>
  <c r="AP147" i="4"/>
  <c r="AP146" i="4"/>
  <c r="AP145" i="4"/>
  <c r="AP144" i="4"/>
  <c r="AP143" i="4"/>
  <c r="AP142" i="4"/>
  <c r="AP141" i="4"/>
  <c r="AP140" i="4"/>
  <c r="AP139" i="4"/>
  <c r="AP138" i="4"/>
  <c r="AP135" i="4"/>
  <c r="AP134" i="4"/>
  <c r="AP133" i="4"/>
  <c r="AP131" i="4"/>
  <c r="AP130" i="4"/>
  <c r="AP129" i="4"/>
  <c r="AP128" i="4"/>
  <c r="AP127" i="4"/>
  <c r="AP126" i="4"/>
  <c r="AP125" i="4"/>
  <c r="AP123" i="4"/>
  <c r="AP122" i="4"/>
  <c r="AP121" i="4"/>
  <c r="AP119" i="4"/>
  <c r="AP118" i="4"/>
  <c r="AP117" i="4"/>
  <c r="AP116" i="4"/>
  <c r="AP115" i="4"/>
  <c r="AP114" i="4"/>
  <c r="AP113" i="4"/>
  <c r="AP111" i="4"/>
  <c r="AP110" i="4"/>
  <c r="AP109" i="4"/>
  <c r="AP108" i="4"/>
  <c r="AP107" i="4"/>
  <c r="AP106" i="4"/>
  <c r="AP105" i="4"/>
  <c r="AP104" i="4"/>
  <c r="AP103" i="4"/>
  <c r="AP102" i="4"/>
  <c r="AP101" i="4"/>
  <c r="AP100" i="4"/>
  <c r="AP99" i="4"/>
  <c r="AP98" i="4"/>
  <c r="AP97" i="4"/>
  <c r="AP96" i="4"/>
  <c r="AP95" i="4"/>
  <c r="AP94" i="4"/>
  <c r="AP93" i="4"/>
  <c r="AP92" i="4"/>
  <c r="AP91" i="4"/>
  <c r="AP90" i="4"/>
  <c r="AP88" i="4"/>
  <c r="AP87" i="4"/>
  <c r="AP86" i="4"/>
  <c r="AP85" i="4"/>
  <c r="AP84" i="4"/>
  <c r="AP83" i="4"/>
  <c r="AP81" i="4"/>
  <c r="AP80" i="4"/>
  <c r="AP79" i="4"/>
  <c r="AP78" i="4"/>
  <c r="AP77" i="4"/>
  <c r="AP76" i="4"/>
  <c r="AP73" i="4"/>
  <c r="AP72" i="4"/>
  <c r="AP71" i="4"/>
  <c r="AP70" i="4"/>
  <c r="AP69" i="4"/>
  <c r="AP68" i="4"/>
  <c r="AP67" i="4"/>
  <c r="AP66" i="4"/>
  <c r="AP65" i="4"/>
  <c r="AP64" i="4"/>
  <c r="AP63" i="4"/>
  <c r="AP62" i="4"/>
  <c r="AP61" i="4"/>
  <c r="AP60" i="4"/>
  <c r="AP58" i="4"/>
  <c r="AP57" i="4"/>
  <c r="AP56" i="4"/>
  <c r="AP55" i="4"/>
  <c r="AP54" i="4"/>
  <c r="AP53" i="4"/>
  <c r="AP52" i="4"/>
  <c r="AP51" i="4"/>
  <c r="AP46" i="4"/>
  <c r="AP45" i="4"/>
  <c r="AP44" i="4"/>
  <c r="AP43" i="4"/>
  <c r="AP42" i="4"/>
  <c r="AP41" i="4"/>
  <c r="AP40" i="4"/>
  <c r="AP39" i="4"/>
  <c r="AP34" i="4"/>
  <c r="AP33" i="4"/>
  <c r="AP32" i="4"/>
  <c r="AP31" i="4"/>
  <c r="AP30" i="4"/>
  <c r="AP29" i="4"/>
  <c r="AP28" i="4"/>
  <c r="AP27" i="4"/>
  <c r="AP26" i="4"/>
  <c r="AP25" i="4"/>
  <c r="AP24" i="4"/>
  <c r="AP23" i="4"/>
  <c r="AP20" i="4"/>
  <c r="AP19" i="4"/>
  <c r="AP18" i="4"/>
  <c r="AP17" i="4"/>
  <c r="AP15" i="4"/>
  <c r="AP14" i="4"/>
  <c r="AP13" i="4"/>
  <c r="AP12" i="4"/>
  <c r="AP11" i="4"/>
  <c r="AP10" i="4"/>
  <c r="AP8" i="4"/>
  <c r="AP7" i="4"/>
  <c r="AP6" i="4"/>
  <c r="AP5" i="4"/>
  <c r="A147" i="15"/>
  <c r="A209" i="15"/>
  <c r="A208" i="15"/>
  <c r="A207" i="15"/>
  <c r="A206" i="15"/>
  <c r="A205" i="15"/>
  <c r="A204" i="15"/>
  <c r="A203" i="15"/>
  <c r="A202" i="15"/>
  <c r="A201" i="15"/>
  <c r="A200" i="15"/>
  <c r="A199" i="15"/>
  <c r="A9" i="15"/>
  <c r="A198" i="15"/>
  <c r="A197" i="15"/>
  <c r="A196" i="15"/>
  <c r="A195" i="15"/>
  <c r="A194" i="15"/>
  <c r="A193" i="15"/>
  <c r="A192" i="15"/>
  <c r="A191" i="15"/>
  <c r="A190" i="15"/>
  <c r="A189" i="15"/>
  <c r="A188" i="15"/>
  <c r="A187" i="15"/>
  <c r="A186" i="15"/>
  <c r="A6" i="15"/>
  <c r="A185" i="15"/>
  <c r="A184" i="15"/>
  <c r="A183" i="15"/>
  <c r="A182" i="15"/>
  <c r="A181" i="15"/>
  <c r="A180" i="15"/>
  <c r="A179" i="15"/>
  <c r="A178" i="15"/>
  <c r="A177" i="15"/>
  <c r="A176" i="15"/>
  <c r="A175" i="15"/>
  <c r="A174" i="15"/>
  <c r="A173" i="15"/>
  <c r="A172" i="15"/>
  <c r="A171" i="15"/>
  <c r="A170" i="15"/>
  <c r="A169" i="15"/>
  <c r="A168" i="15"/>
  <c r="A167" i="15"/>
  <c r="A166" i="15"/>
  <c r="A165" i="15"/>
  <c r="A164" i="15"/>
  <c r="A163" i="15"/>
  <c r="A162" i="15"/>
  <c r="A161" i="15"/>
  <c r="A160" i="15"/>
  <c r="A159" i="15"/>
  <c r="A158" i="15"/>
  <c r="A157" i="15"/>
  <c r="A156" i="15"/>
  <c r="A155" i="15"/>
  <c r="A154" i="15"/>
  <c r="A153" i="15"/>
  <c r="A152" i="15"/>
  <c r="A151" i="15"/>
  <c r="A150" i="15"/>
  <c r="A149" i="15"/>
  <c r="A148" i="15"/>
  <c r="A146" i="15"/>
  <c r="A145" i="15"/>
  <c r="A144" i="15"/>
  <c r="A143" i="15"/>
  <c r="A142" i="15"/>
  <c r="A141" i="15"/>
  <c r="A140" i="15"/>
  <c r="A139" i="15"/>
  <c r="A138" i="15"/>
  <c r="A137" i="15"/>
  <c r="A136" i="15"/>
  <c r="A134" i="15"/>
  <c r="A133" i="15"/>
  <c r="A132" i="15"/>
  <c r="A131" i="15"/>
  <c r="A130" i="15"/>
  <c r="A129" i="15"/>
  <c r="A128" i="15"/>
  <c r="A127" i="15"/>
  <c r="A126" i="15"/>
  <c r="A125" i="15"/>
  <c r="A124" i="15"/>
  <c r="A123" i="15"/>
  <c r="A122" i="15"/>
  <c r="A121" i="15"/>
  <c r="A120" i="15"/>
  <c r="A119" i="15"/>
  <c r="A118" i="15"/>
  <c r="A117" i="15"/>
  <c r="A116" i="15"/>
  <c r="A115" i="15"/>
  <c r="A114" i="15"/>
  <c r="A113" i="15"/>
  <c r="A112" i="15"/>
  <c r="A111" i="15"/>
  <c r="A110" i="15"/>
  <c r="A109" i="15"/>
  <c r="A108" i="15"/>
  <c r="A107" i="15"/>
  <c r="A106" i="15"/>
  <c r="A105" i="15"/>
  <c r="A104" i="15"/>
  <c r="A103" i="15"/>
  <c r="A102" i="15"/>
  <c r="A101" i="15"/>
  <c r="A100" i="15"/>
  <c r="A99" i="15"/>
  <c r="A98" i="15"/>
  <c r="A97" i="15"/>
  <c r="A96" i="15"/>
  <c r="A95" i="15"/>
  <c r="A94" i="15"/>
  <c r="A93" i="15"/>
  <c r="A92" i="15"/>
  <c r="A91" i="15"/>
  <c r="A90" i="15"/>
  <c r="A89" i="15"/>
  <c r="A88" i="15"/>
  <c r="A87" i="15"/>
  <c r="A86" i="15"/>
  <c r="A85" i="15"/>
  <c r="A84" i="15"/>
  <c r="A83" i="15"/>
  <c r="A82" i="15"/>
  <c r="A81" i="15"/>
  <c r="A80" i="15"/>
  <c r="A79" i="15"/>
  <c r="A4" i="15"/>
  <c r="A78" i="15"/>
  <c r="A77" i="15"/>
  <c r="A76" i="15"/>
  <c r="A75" i="15"/>
  <c r="A74" i="15"/>
  <c r="A73" i="15"/>
  <c r="A72" i="15"/>
  <c r="A71" i="15"/>
  <c r="A70" i="15"/>
  <c r="A69" i="15"/>
  <c r="A68" i="15"/>
  <c r="A67" i="15"/>
  <c r="A66" i="15"/>
  <c r="A65" i="15"/>
  <c r="A64" i="15"/>
  <c r="A63" i="15"/>
  <c r="A62" i="15"/>
  <c r="A61" i="15"/>
  <c r="A5" i="15"/>
  <c r="A60" i="15"/>
  <c r="A59" i="15"/>
  <c r="A58" i="15"/>
  <c r="A57" i="15"/>
  <c r="A56" i="15"/>
  <c r="A55" i="15"/>
  <c r="A54" i="15"/>
  <c r="A53" i="15"/>
  <c r="A52" i="15"/>
  <c r="A51" i="15"/>
  <c r="A50" i="15"/>
  <c r="A49" i="15"/>
  <c r="A48" i="15"/>
  <c r="A47" i="15"/>
  <c r="A46" i="15"/>
  <c r="A45" i="15"/>
  <c r="A44" i="15"/>
  <c r="A43" i="15"/>
  <c r="A42" i="15"/>
  <c r="A3" i="15"/>
  <c r="A41" i="15"/>
  <c r="A40" i="15"/>
  <c r="A39" i="15"/>
  <c r="A38" i="15"/>
  <c r="A37" i="15"/>
  <c r="A36" i="15"/>
  <c r="A35" i="15"/>
  <c r="A34" i="15"/>
  <c r="A33" i="15"/>
  <c r="A32" i="15"/>
  <c r="A31" i="15"/>
  <c r="A30" i="15"/>
  <c r="A8" i="15"/>
  <c r="A29" i="15"/>
  <c r="A28" i="15"/>
  <c r="A27" i="15"/>
  <c r="A26" i="15"/>
  <c r="A25" i="15"/>
  <c r="A24" i="15"/>
  <c r="A23" i="15"/>
  <c r="A22" i="15"/>
  <c r="A21" i="15"/>
  <c r="A20" i="15"/>
  <c r="A19" i="15"/>
  <c r="A18" i="15"/>
  <c r="A17" i="15"/>
  <c r="A16" i="15"/>
  <c r="A15" i="15"/>
  <c r="A14" i="15"/>
  <c r="A13" i="15"/>
  <c r="A12" i="15"/>
  <c r="A11" i="15"/>
  <c r="A10" i="15"/>
  <c r="AO210" i="4" l="1"/>
  <c r="AO209" i="4"/>
  <c r="AO208" i="4"/>
  <c r="AO207" i="4"/>
  <c r="AO206" i="4"/>
  <c r="AO205" i="4"/>
  <c r="AO204" i="4"/>
  <c r="AO203" i="4"/>
  <c r="AO202" i="4"/>
  <c r="AO201" i="4"/>
  <c r="AO200" i="4"/>
  <c r="AO199" i="4"/>
  <c r="AO198" i="4"/>
  <c r="AO197" i="4"/>
  <c r="AO196" i="4"/>
  <c r="AO195" i="4"/>
  <c r="AO194" i="4"/>
  <c r="AO193" i="4"/>
  <c r="AO192" i="4"/>
  <c r="AO191" i="4"/>
  <c r="AO190" i="4"/>
  <c r="AO189" i="4"/>
  <c r="AO188" i="4"/>
  <c r="AO187" i="4"/>
  <c r="AO186" i="4"/>
  <c r="AO185" i="4"/>
  <c r="AO184" i="4"/>
  <c r="AO183" i="4"/>
  <c r="AO182" i="4"/>
  <c r="AO181" i="4"/>
  <c r="AO180" i="4"/>
  <c r="AO179" i="4"/>
  <c r="AO178" i="4"/>
  <c r="AO177" i="4"/>
  <c r="AO176" i="4"/>
  <c r="AO175" i="4"/>
  <c r="AO174" i="4"/>
  <c r="AO173" i="4"/>
  <c r="AO172" i="4"/>
  <c r="AO171" i="4"/>
  <c r="AO170" i="4"/>
  <c r="AO169" i="4"/>
  <c r="AO168" i="4"/>
  <c r="AO167" i="4"/>
  <c r="AO166" i="4"/>
  <c r="AO165" i="4"/>
  <c r="AO164" i="4"/>
  <c r="AO163" i="4"/>
  <c r="AO162" i="4"/>
  <c r="AO161" i="4"/>
  <c r="AO160" i="4"/>
  <c r="AO159" i="4"/>
  <c r="AO158" i="4"/>
  <c r="AO157" i="4"/>
  <c r="AO156" i="4"/>
  <c r="AO155" i="4"/>
  <c r="AO154" i="4"/>
  <c r="AO153" i="4"/>
  <c r="AO152" i="4"/>
  <c r="AO151" i="4"/>
  <c r="AO150" i="4"/>
  <c r="AO149" i="4"/>
  <c r="AO148" i="4"/>
  <c r="AO147" i="4"/>
  <c r="AO146" i="4"/>
  <c r="AO145" i="4"/>
  <c r="AO144" i="4"/>
  <c r="AO143" i="4"/>
  <c r="AO142" i="4"/>
  <c r="AO141" i="4"/>
  <c r="AO140" i="4"/>
  <c r="AO139" i="4"/>
  <c r="AO138" i="4"/>
  <c r="AO137" i="4"/>
  <c r="AO136" i="4"/>
  <c r="AO135" i="4"/>
  <c r="AO134" i="4"/>
  <c r="AO133" i="4"/>
  <c r="AO132" i="4"/>
  <c r="AO131" i="4"/>
  <c r="AO130" i="4"/>
  <c r="AO129" i="4"/>
  <c r="AO128" i="4"/>
  <c r="AO127" i="4"/>
  <c r="AO126" i="4"/>
  <c r="AO125" i="4"/>
  <c r="AO124" i="4"/>
  <c r="AO123" i="4"/>
  <c r="AO122" i="4"/>
  <c r="AO121" i="4"/>
  <c r="AO120" i="4"/>
  <c r="AO119" i="4"/>
  <c r="AO118" i="4"/>
  <c r="AO117" i="4"/>
  <c r="AO116" i="4"/>
  <c r="AO115" i="4"/>
  <c r="AO114" i="4"/>
  <c r="AO113" i="4"/>
  <c r="AO112" i="4"/>
  <c r="AO111" i="4"/>
  <c r="AO110" i="4"/>
  <c r="AO109" i="4"/>
  <c r="AO108" i="4"/>
  <c r="AO107" i="4"/>
  <c r="AO106" i="4"/>
  <c r="AO105" i="4"/>
  <c r="AO104" i="4"/>
  <c r="AO103" i="4"/>
  <c r="AO102" i="4"/>
  <c r="AO101" i="4"/>
  <c r="AO100" i="4"/>
  <c r="AO99" i="4"/>
  <c r="AO98" i="4"/>
  <c r="AO97" i="4"/>
  <c r="AO96" i="4"/>
  <c r="AO95" i="4"/>
  <c r="AO94" i="4"/>
  <c r="AO93" i="4"/>
  <c r="AO92" i="4"/>
  <c r="AO91" i="4"/>
  <c r="AO90" i="4"/>
  <c r="AO89" i="4"/>
  <c r="AO88" i="4"/>
  <c r="AO87" i="4"/>
  <c r="AO86" i="4"/>
  <c r="AO85" i="4"/>
  <c r="AO84" i="4"/>
  <c r="AO83" i="4"/>
  <c r="AO82" i="4"/>
  <c r="AO81" i="4"/>
  <c r="AO80" i="4"/>
  <c r="AO79" i="4"/>
  <c r="AO78" i="4"/>
  <c r="AO77" i="4"/>
  <c r="AO76" i="4"/>
  <c r="AO75" i="4"/>
  <c r="AO74" i="4"/>
  <c r="AO73" i="4"/>
  <c r="AO72" i="4"/>
  <c r="AO71" i="4"/>
  <c r="AO70" i="4"/>
  <c r="AO69" i="4"/>
  <c r="AO68" i="4"/>
  <c r="AO67" i="4"/>
  <c r="AO66" i="4"/>
  <c r="AO65" i="4"/>
  <c r="AO64" i="4"/>
  <c r="AO63" i="4"/>
  <c r="AO62" i="4"/>
  <c r="AO61" i="4"/>
  <c r="AO60" i="4"/>
  <c r="AO59" i="4"/>
  <c r="AO58" i="4"/>
  <c r="AO57" i="4"/>
  <c r="AO56" i="4"/>
  <c r="AO55" i="4"/>
  <c r="AO54" i="4"/>
  <c r="AO53" i="4"/>
  <c r="AO52" i="4"/>
  <c r="AO51" i="4"/>
  <c r="AO50" i="4"/>
  <c r="AO49" i="4"/>
  <c r="AO48" i="4"/>
  <c r="AO47" i="4"/>
  <c r="AO46" i="4"/>
  <c r="AO45" i="4"/>
  <c r="AO44" i="4"/>
  <c r="AO43" i="4"/>
  <c r="AO42" i="4"/>
  <c r="AO41" i="4"/>
  <c r="AO40" i="4"/>
  <c r="AO39" i="4"/>
  <c r="AO38" i="4"/>
  <c r="AO37" i="4"/>
  <c r="AO36" i="4"/>
  <c r="AO35" i="4"/>
  <c r="AO34" i="4"/>
  <c r="AO33" i="4"/>
  <c r="AO32" i="4"/>
  <c r="AO31" i="4"/>
  <c r="AO30" i="4"/>
  <c r="AO29" i="4"/>
  <c r="AO28" i="4"/>
  <c r="AO27" i="4"/>
  <c r="AO26" i="4"/>
  <c r="AO25" i="4"/>
  <c r="AO24" i="4"/>
  <c r="AO23" i="4"/>
  <c r="AO22" i="4"/>
  <c r="AO21" i="4"/>
  <c r="AO20" i="4"/>
  <c r="AO19" i="4"/>
  <c r="AO18" i="4"/>
  <c r="AO17" i="4"/>
  <c r="AO16" i="4"/>
  <c r="AO15" i="4"/>
  <c r="AO14" i="4"/>
  <c r="AO13" i="4"/>
  <c r="AO12" i="4"/>
  <c r="AO11" i="4"/>
  <c r="AO10" i="4"/>
  <c r="AO9" i="4"/>
  <c r="AO8" i="4"/>
  <c r="AO7" i="4"/>
  <c r="AO6" i="4"/>
  <c r="AO5" i="4"/>
  <c r="A135" i="15" l="1"/>
  <c r="B54" i="1"/>
  <c r="AY215" i="4" l="1"/>
  <c r="CT210" i="4" l="1"/>
  <c r="CT209" i="4"/>
  <c r="CT208" i="4"/>
  <c r="CT207" i="4"/>
  <c r="CT206" i="4"/>
  <c r="CT205" i="4"/>
  <c r="CT204" i="4"/>
  <c r="CT203" i="4"/>
  <c r="CT202" i="4"/>
  <c r="CT201" i="4"/>
  <c r="CT200" i="4"/>
  <c r="CT199" i="4"/>
  <c r="CT198" i="4"/>
  <c r="CT197" i="4"/>
  <c r="CT196" i="4"/>
  <c r="CT195" i="4"/>
  <c r="CT194" i="4"/>
  <c r="CT193" i="4"/>
  <c r="CT192" i="4"/>
  <c r="CT191" i="4"/>
  <c r="CT190" i="4"/>
  <c r="CT189" i="4"/>
  <c r="CT188" i="4"/>
  <c r="CT187" i="4"/>
  <c r="CT186" i="4"/>
  <c r="CT185" i="4"/>
  <c r="CT184" i="4"/>
  <c r="CT183" i="4"/>
  <c r="CT182" i="4"/>
  <c r="CT181" i="4"/>
  <c r="CT180" i="4"/>
  <c r="CT179" i="4"/>
  <c r="CT178" i="4"/>
  <c r="CT177" i="4"/>
  <c r="CT176" i="4"/>
  <c r="CT175" i="4"/>
  <c r="CT174" i="4"/>
  <c r="CT173" i="4"/>
  <c r="CT172" i="4"/>
  <c r="CT171" i="4"/>
  <c r="CT170" i="4"/>
  <c r="CT169" i="4"/>
  <c r="CT168" i="4"/>
  <c r="CT167" i="4"/>
  <c r="CT166" i="4"/>
  <c r="CT165" i="4"/>
  <c r="CT164" i="4"/>
  <c r="CT163" i="4"/>
  <c r="CT162" i="4"/>
  <c r="CT161" i="4"/>
  <c r="CT160" i="4"/>
  <c r="CT159" i="4"/>
  <c r="CT158" i="4"/>
  <c r="CT157" i="4"/>
  <c r="CT156" i="4"/>
  <c r="CT155" i="4"/>
  <c r="CT154" i="4"/>
  <c r="CT153" i="4"/>
  <c r="CT152" i="4"/>
  <c r="CT151" i="4"/>
  <c r="CT150" i="4"/>
  <c r="CT149" i="4"/>
  <c r="CT148" i="4"/>
  <c r="CT147" i="4"/>
  <c r="CT146" i="4"/>
  <c r="CT145" i="4"/>
  <c r="CT144" i="4"/>
  <c r="CT143" i="4"/>
  <c r="CT142" i="4"/>
  <c r="CT141" i="4"/>
  <c r="CT140" i="4"/>
  <c r="CT139" i="4"/>
  <c r="CT138" i="4"/>
  <c r="CT137" i="4"/>
  <c r="CT136" i="4"/>
  <c r="CT135" i="4"/>
  <c r="CT134" i="4"/>
  <c r="CT133" i="4"/>
  <c r="CT132" i="4"/>
  <c r="CT131" i="4"/>
  <c r="CT130" i="4"/>
  <c r="CT129" i="4"/>
  <c r="CT128" i="4"/>
  <c r="CT127" i="4"/>
  <c r="CT126" i="4"/>
  <c r="CT125" i="4"/>
  <c r="CT124" i="4"/>
  <c r="CT123" i="4"/>
  <c r="CT122" i="4"/>
  <c r="CT121" i="4"/>
  <c r="CT120" i="4"/>
  <c r="CT119" i="4"/>
  <c r="CT118" i="4"/>
  <c r="CT117" i="4"/>
  <c r="CT116" i="4"/>
  <c r="CT115" i="4"/>
  <c r="CT114" i="4"/>
  <c r="CT113" i="4"/>
  <c r="CT112" i="4"/>
  <c r="CT111" i="4"/>
  <c r="CT110" i="4"/>
  <c r="CT109" i="4"/>
  <c r="CT108" i="4"/>
  <c r="CT107" i="4"/>
  <c r="CT106" i="4"/>
  <c r="CT105" i="4"/>
  <c r="CT104" i="4"/>
  <c r="CT103" i="4"/>
  <c r="CT102" i="4"/>
  <c r="CT101" i="4"/>
  <c r="CT100" i="4"/>
  <c r="CT99" i="4"/>
  <c r="CT98" i="4"/>
  <c r="CT97" i="4"/>
  <c r="CT96" i="4"/>
  <c r="CT95" i="4"/>
  <c r="CT94" i="4"/>
  <c r="CT93" i="4"/>
  <c r="CT92" i="4"/>
  <c r="CT91" i="4"/>
  <c r="CT90" i="4"/>
  <c r="CT89" i="4"/>
  <c r="CT88" i="4"/>
  <c r="CT87" i="4"/>
  <c r="CT86" i="4"/>
  <c r="CT85" i="4"/>
  <c r="CT84" i="4"/>
  <c r="CT83" i="4"/>
  <c r="CT82" i="4"/>
  <c r="CT81" i="4"/>
  <c r="CT80" i="4"/>
  <c r="CT79" i="4"/>
  <c r="CT78" i="4"/>
  <c r="CT77" i="4"/>
  <c r="CT76" i="4"/>
  <c r="CT75" i="4"/>
  <c r="CT74" i="4"/>
  <c r="CT73" i="4"/>
  <c r="CT72" i="4"/>
  <c r="CT71" i="4"/>
  <c r="CT70" i="4"/>
  <c r="CT69" i="4"/>
  <c r="CT68" i="4"/>
  <c r="CT67" i="4"/>
  <c r="CT66" i="4"/>
  <c r="CT65" i="4"/>
  <c r="CT64" i="4"/>
  <c r="CT63" i="4"/>
  <c r="CT62" i="4"/>
  <c r="CT61" i="4"/>
  <c r="CT60" i="4"/>
  <c r="CT59" i="4"/>
  <c r="CT58" i="4"/>
  <c r="CT57" i="4"/>
  <c r="CT56" i="4"/>
  <c r="CT55" i="4"/>
  <c r="CT54" i="4"/>
  <c r="CT53" i="4"/>
  <c r="CT52" i="4"/>
  <c r="CT51" i="4"/>
  <c r="CT50" i="4"/>
  <c r="CT49" i="4"/>
  <c r="CT48" i="4"/>
  <c r="CT47" i="4"/>
  <c r="CT46" i="4"/>
  <c r="CT45" i="4"/>
  <c r="CT44" i="4"/>
  <c r="CT43" i="4"/>
  <c r="CT42" i="4"/>
  <c r="CT41" i="4"/>
  <c r="CT40" i="4"/>
  <c r="CT39" i="4"/>
  <c r="CT38" i="4"/>
  <c r="CT37" i="4"/>
  <c r="CT36" i="4"/>
  <c r="CT35" i="4"/>
  <c r="CT34" i="4"/>
  <c r="CT33" i="4"/>
  <c r="CT32" i="4"/>
  <c r="CT31" i="4"/>
  <c r="CT30" i="4"/>
  <c r="CT29" i="4"/>
  <c r="CT28" i="4"/>
  <c r="CT27" i="4"/>
  <c r="CT26" i="4"/>
  <c r="CT25" i="4"/>
  <c r="CT24" i="4"/>
  <c r="CT23" i="4"/>
  <c r="CT22" i="4"/>
  <c r="CT21" i="4"/>
  <c r="CT20" i="4"/>
  <c r="CT19" i="4"/>
  <c r="CT18" i="4"/>
  <c r="CT17" i="4"/>
  <c r="CT16" i="4"/>
  <c r="CT15" i="4"/>
  <c r="CT14" i="4"/>
  <c r="CT13" i="4"/>
  <c r="CT12" i="4"/>
  <c r="CT11" i="4"/>
  <c r="CT10" i="4"/>
  <c r="CT9" i="4"/>
  <c r="CT8" i="4"/>
  <c r="CT7" i="4"/>
  <c r="CT6" i="4"/>
  <c r="CT5" i="4"/>
  <c r="A115" i="1" l="1"/>
  <c r="A116" i="1" s="1"/>
  <c r="CI132" i="4" l="1"/>
  <c r="CG132" i="4"/>
  <c r="CF132" i="4"/>
  <c r="CE132" i="4"/>
  <c r="CD132" i="4"/>
  <c r="CC132" i="4"/>
  <c r="CB132" i="4"/>
  <c r="BZ132" i="4"/>
  <c r="BY132" i="4"/>
  <c r="BX132" i="4"/>
  <c r="BW132" i="4"/>
  <c r="BV132" i="4"/>
  <c r="BU132" i="4"/>
  <c r="BT132" i="4"/>
  <c r="BR132" i="4"/>
  <c r="BP132" i="4"/>
  <c r="BO132" i="4"/>
  <c r="BN132" i="4"/>
  <c r="BM132" i="4"/>
  <c r="BL132" i="4"/>
  <c r="BK132" i="4"/>
  <c r="BI132" i="4"/>
  <c r="BQ132" i="4" l="1"/>
  <c r="CK132" i="4" s="1"/>
  <c r="BS132" i="4" l="1"/>
  <c r="CA132" i="4"/>
  <c r="CI210" i="4"/>
  <c r="CI209" i="4"/>
  <c r="CI208" i="4"/>
  <c r="CI207" i="4"/>
  <c r="CI206" i="4"/>
  <c r="CI205" i="4"/>
  <c r="CI204" i="4"/>
  <c r="CI203" i="4"/>
  <c r="CI202" i="4"/>
  <c r="CI201" i="4"/>
  <c r="CI200" i="4"/>
  <c r="CI199" i="4"/>
  <c r="CI198" i="4"/>
  <c r="CI197" i="4"/>
  <c r="CI196" i="4"/>
  <c r="CI195" i="4"/>
  <c r="CI194" i="4"/>
  <c r="CI193" i="4"/>
  <c r="CI192" i="4"/>
  <c r="CI191" i="4"/>
  <c r="CI190" i="4"/>
  <c r="CI189" i="4"/>
  <c r="CI188" i="4"/>
  <c r="CI187" i="4"/>
  <c r="CI186" i="4"/>
  <c r="CI185" i="4"/>
  <c r="CI184" i="4"/>
  <c r="CI183" i="4"/>
  <c r="CI182" i="4"/>
  <c r="CI181" i="4"/>
  <c r="CI180" i="4"/>
  <c r="CI179" i="4"/>
  <c r="CI178" i="4"/>
  <c r="CI177" i="4"/>
  <c r="CI176" i="4"/>
  <c r="CI175" i="4"/>
  <c r="CI174" i="4"/>
  <c r="CI173" i="4"/>
  <c r="CI172" i="4"/>
  <c r="CI171" i="4"/>
  <c r="CI170" i="4"/>
  <c r="CI169" i="4"/>
  <c r="CI168" i="4"/>
  <c r="CI167" i="4"/>
  <c r="CI166" i="4"/>
  <c r="CI165" i="4"/>
  <c r="CI164" i="4"/>
  <c r="CI163" i="4"/>
  <c r="CI162" i="4"/>
  <c r="CI161" i="4"/>
  <c r="CI160" i="4"/>
  <c r="CI159" i="4"/>
  <c r="CI158" i="4"/>
  <c r="CI157" i="4"/>
  <c r="CI156" i="4"/>
  <c r="CI155" i="4"/>
  <c r="CI154" i="4"/>
  <c r="CI153" i="4"/>
  <c r="CI152" i="4"/>
  <c r="CI151" i="4"/>
  <c r="CI150" i="4"/>
  <c r="CI149" i="4"/>
  <c r="CI148" i="4"/>
  <c r="CI147" i="4"/>
  <c r="CI146" i="4"/>
  <c r="CI145" i="4"/>
  <c r="CI144" i="4"/>
  <c r="CI143" i="4"/>
  <c r="CI142" i="4"/>
  <c r="CI141" i="4"/>
  <c r="CI140" i="4"/>
  <c r="CI139" i="4"/>
  <c r="CI138" i="4"/>
  <c r="CI137" i="4"/>
  <c r="CI136" i="4"/>
  <c r="CI135" i="4"/>
  <c r="CI134" i="4"/>
  <c r="CI133" i="4"/>
  <c r="CI131" i="4"/>
  <c r="CI130" i="4"/>
  <c r="CI129" i="4"/>
  <c r="CI128" i="4"/>
  <c r="CI127" i="4"/>
  <c r="CI126" i="4"/>
  <c r="CI125" i="4"/>
  <c r="CI124" i="4"/>
  <c r="CI123" i="4"/>
  <c r="CI122" i="4"/>
  <c r="CI121" i="4"/>
  <c r="CI120" i="4"/>
  <c r="CI119" i="4"/>
  <c r="CI118" i="4"/>
  <c r="CI117" i="4"/>
  <c r="CI116" i="4"/>
  <c r="CI115" i="4"/>
  <c r="CI114" i="4"/>
  <c r="CI113" i="4"/>
  <c r="CI112" i="4"/>
  <c r="CI111" i="4"/>
  <c r="CI110" i="4"/>
  <c r="CI109" i="4"/>
  <c r="CI108" i="4"/>
  <c r="CI107" i="4"/>
  <c r="CI106" i="4"/>
  <c r="CI105" i="4"/>
  <c r="CI104" i="4"/>
  <c r="CI103" i="4"/>
  <c r="CI102" i="4"/>
  <c r="CI101" i="4"/>
  <c r="CI100" i="4"/>
  <c r="CI99" i="4"/>
  <c r="CI98" i="4"/>
  <c r="CI97" i="4"/>
  <c r="CI96" i="4"/>
  <c r="CI95" i="4"/>
  <c r="CI94" i="4"/>
  <c r="CI93" i="4"/>
  <c r="CI92" i="4"/>
  <c r="CI91" i="4"/>
  <c r="CI90" i="4"/>
  <c r="CI89" i="4"/>
  <c r="CI88" i="4"/>
  <c r="CI87" i="4"/>
  <c r="CI86" i="4"/>
  <c r="CI85" i="4"/>
  <c r="CI84" i="4"/>
  <c r="CI83" i="4"/>
  <c r="CI82" i="4"/>
  <c r="CI81" i="4"/>
  <c r="CI80" i="4"/>
  <c r="CI79" i="4"/>
  <c r="CI78" i="4"/>
  <c r="CI77" i="4"/>
  <c r="CI76" i="4"/>
  <c r="CI75" i="4"/>
  <c r="CI74" i="4"/>
  <c r="CI73" i="4"/>
  <c r="CI72" i="4"/>
  <c r="CI71" i="4"/>
  <c r="CI70" i="4"/>
  <c r="CI69" i="4"/>
  <c r="CI68" i="4"/>
  <c r="CI67" i="4"/>
  <c r="CI66" i="4"/>
  <c r="CI65" i="4"/>
  <c r="CI64" i="4"/>
  <c r="CI63" i="4"/>
  <c r="CI62" i="4"/>
  <c r="CI61" i="4"/>
  <c r="CI60" i="4"/>
  <c r="CI59" i="4"/>
  <c r="CI58" i="4"/>
  <c r="CI57" i="4"/>
  <c r="CI56" i="4"/>
  <c r="CI55" i="4"/>
  <c r="CI54" i="4"/>
  <c r="CI53" i="4"/>
  <c r="CI52" i="4"/>
  <c r="CI51" i="4"/>
  <c r="CI50" i="4"/>
  <c r="CI49" i="4"/>
  <c r="CI48" i="4"/>
  <c r="CI47" i="4"/>
  <c r="CI46" i="4"/>
  <c r="CI45" i="4"/>
  <c r="CI44" i="4"/>
  <c r="CI43" i="4"/>
  <c r="CI42" i="4"/>
  <c r="CI41" i="4"/>
  <c r="CI40" i="4"/>
  <c r="CI39" i="4"/>
  <c r="CI38" i="4"/>
  <c r="CI37" i="4"/>
  <c r="CI36" i="4"/>
  <c r="CI35" i="4"/>
  <c r="CI34" i="4"/>
  <c r="CI33" i="4"/>
  <c r="CI32" i="4"/>
  <c r="CI31" i="4"/>
  <c r="CI30" i="4"/>
  <c r="CI29" i="4"/>
  <c r="CI28" i="4"/>
  <c r="CI27" i="4"/>
  <c r="CI26" i="4"/>
  <c r="CI25" i="4"/>
  <c r="CI24" i="4"/>
  <c r="CI23" i="4"/>
  <c r="CI22" i="4"/>
  <c r="CI21" i="4"/>
  <c r="CI20" i="4"/>
  <c r="CI19" i="4"/>
  <c r="CI18" i="4"/>
  <c r="CI17" i="4"/>
  <c r="CI16" i="4"/>
  <c r="CI15" i="4"/>
  <c r="CI14" i="4"/>
  <c r="CI13" i="4"/>
  <c r="CI12" i="4"/>
  <c r="CI11" i="4"/>
  <c r="CI10" i="4"/>
  <c r="CI9" i="4"/>
  <c r="CI8" i="4"/>
  <c r="CI7" i="4"/>
  <c r="CI6" i="4"/>
  <c r="CI5" i="4"/>
  <c r="CH132" i="4" l="1"/>
  <c r="CJ132" i="4" s="1"/>
  <c r="CL132" i="4" s="1"/>
  <c r="CI212" i="4"/>
  <c r="BH132" i="4" l="1"/>
  <c r="CQ132" i="4"/>
  <c r="BJ132" i="4"/>
  <c r="CM132" i="4"/>
  <c r="CN132" i="4" s="1"/>
  <c r="CO132" i="4" s="1"/>
  <c r="AQ212" i="4"/>
  <c r="AK212" i="4"/>
  <c r="CP132" i="4" l="1"/>
  <c r="CR132" i="4" s="1"/>
  <c r="CS132" i="4" s="1"/>
  <c r="AN212" i="4"/>
  <c r="AL212" i="4"/>
  <c r="AM212" i="4"/>
  <c r="DD132" i="4" l="1"/>
  <c r="DL132" i="4" s="1"/>
  <c r="DC132" i="4"/>
  <c r="DK132" i="4" s="1"/>
  <c r="DB132" i="4"/>
  <c r="DJ132" i="4" s="1"/>
  <c r="DA132" i="4"/>
  <c r="DI132" i="4" s="1"/>
  <c r="DG132" i="4"/>
  <c r="DO132" i="4" s="1"/>
  <c r="DF132" i="4"/>
  <c r="DN132" i="4" s="1"/>
  <c r="DE132" i="4"/>
  <c r="DM132" i="4" s="1"/>
  <c r="BC132" i="4" l="1"/>
  <c r="BE132" i="4" s="1"/>
  <c r="CG38" i="4"/>
  <c r="CF38" i="4"/>
  <c r="CE38" i="4"/>
  <c r="CD38" i="4"/>
  <c r="CC38" i="4"/>
  <c r="CB38" i="4"/>
  <c r="BZ38" i="4"/>
  <c r="BY38" i="4"/>
  <c r="BX38" i="4"/>
  <c r="BW38" i="4"/>
  <c r="BV38" i="4"/>
  <c r="BU38" i="4"/>
  <c r="BT38" i="4"/>
  <c r="BR38" i="4"/>
  <c r="BP38" i="4"/>
  <c r="BO38" i="4"/>
  <c r="BN38" i="4"/>
  <c r="BM38" i="4"/>
  <c r="BL38" i="4"/>
  <c r="BK38" i="4"/>
  <c r="BI38" i="4"/>
  <c r="BD132" i="4" l="1"/>
  <c r="BF132" i="4" s="1"/>
  <c r="BQ38" i="4"/>
  <c r="CA38" i="4" s="1"/>
  <c r="BS38" i="4" l="1"/>
  <c r="CH38" i="4" s="1"/>
  <c r="CJ38" i="4" s="1"/>
  <c r="CK38" i="4"/>
  <c r="CO198" i="4"/>
  <c r="CO100" i="4"/>
  <c r="CO73" i="4"/>
  <c r="CL38" i="4" l="1"/>
  <c r="CM38" i="4" l="1"/>
  <c r="CN38" i="4" s="1"/>
  <c r="CO38" i="4" s="1"/>
  <c r="CP38" i="4" s="1"/>
  <c r="CQ38" i="4"/>
  <c r="BJ38" i="4"/>
  <c r="BH38" i="4"/>
  <c r="C7" i="5"/>
  <c r="CR38" i="4" l="1"/>
  <c r="CS38" i="4" s="1"/>
  <c r="DD38" i="4" s="1"/>
  <c r="DL38" i="4" s="1"/>
  <c r="G7" i="2"/>
  <c r="DG38" i="4" l="1"/>
  <c r="DO38" i="4" s="1"/>
  <c r="DE38" i="4"/>
  <c r="DM38" i="4" s="1"/>
  <c r="DB38" i="4"/>
  <c r="DJ38" i="4" s="1"/>
  <c r="DA38" i="4"/>
  <c r="DI38" i="4" s="1"/>
  <c r="BC38" i="4" s="1"/>
  <c r="BE38" i="4" s="1"/>
  <c r="DF38" i="4"/>
  <c r="DN38" i="4" s="1"/>
  <c r="DC38" i="4"/>
  <c r="DK38" i="4" s="1"/>
  <c r="BU189" i="4"/>
  <c r="CE189" i="4"/>
  <c r="CD189" i="4"/>
  <c r="CC189" i="4"/>
  <c r="CB189" i="4"/>
  <c r="BZ189" i="4"/>
  <c r="BY189" i="4"/>
  <c r="BX189" i="4"/>
  <c r="BV189" i="4"/>
  <c r="BR189" i="4"/>
  <c r="BO189" i="4"/>
  <c r="BN189" i="4"/>
  <c r="BM189" i="4"/>
  <c r="BL189" i="4"/>
  <c r="BK189" i="4"/>
  <c r="BD38" i="4" l="1"/>
  <c r="BF38" i="4" s="1"/>
  <c r="BI189" i="4"/>
  <c r="BP189" i="4"/>
  <c r="BQ189" i="4" s="1"/>
  <c r="CF189" i="4"/>
  <c r="BT189" i="4"/>
  <c r="CG189" i="4"/>
  <c r="BS189" i="4" l="1"/>
  <c r="CK189" i="4"/>
  <c r="CA189" i="4"/>
  <c r="BW189" i="4"/>
  <c r="G39" i="2"/>
  <c r="F39" i="2" s="1"/>
  <c r="G38" i="2"/>
  <c r="F38" i="2" s="1"/>
  <c r="G37" i="2"/>
  <c r="F37" i="2" s="1"/>
  <c r="G36" i="2"/>
  <c r="F36" i="2" s="1"/>
  <c r="G35" i="2"/>
  <c r="F35" i="2" s="1"/>
  <c r="G34" i="2"/>
  <c r="F34" i="2" s="1"/>
  <c r="G33" i="2"/>
  <c r="F33" i="2" s="1"/>
  <c r="G32" i="2"/>
  <c r="F32" i="2" s="1"/>
  <c r="G31" i="2"/>
  <c r="F31" i="2" s="1"/>
  <c r="G30" i="2"/>
  <c r="F30" i="2" s="1"/>
  <c r="G29" i="2"/>
  <c r="F29" i="2" s="1"/>
  <c r="G28" i="2"/>
  <c r="F28" i="2" s="1"/>
  <c r="G27" i="2"/>
  <c r="F27" i="2" s="1"/>
  <c r="G26" i="2"/>
  <c r="F26" i="2" s="1"/>
  <c r="G25" i="2"/>
  <c r="F25" i="2" s="1"/>
  <c r="G24" i="2"/>
  <c r="F24" i="2" s="1"/>
  <c r="G23" i="2"/>
  <c r="F23" i="2" s="1"/>
  <c r="G22" i="2"/>
  <c r="F22" i="2" s="1"/>
  <c r="G21" i="2"/>
  <c r="F21" i="2" s="1"/>
  <c r="G20" i="2"/>
  <c r="F20" i="2" s="1"/>
  <c r="G19" i="2"/>
  <c r="F19" i="2" s="1"/>
  <c r="G18" i="2"/>
  <c r="F18" i="2" s="1"/>
  <c r="G17" i="2"/>
  <c r="F17" i="2" s="1"/>
  <c r="G16" i="2"/>
  <c r="F16" i="2" s="1"/>
  <c r="G15" i="2"/>
  <c r="F15" i="2" s="1"/>
  <c r="G14" i="2"/>
  <c r="F14" i="2" s="1"/>
  <c r="G13" i="2"/>
  <c r="F13" i="2" s="1"/>
  <c r="G12" i="2"/>
  <c r="F12" i="2" s="1"/>
  <c r="G11" i="2"/>
  <c r="F11" i="2" s="1"/>
  <c r="G10" i="2"/>
  <c r="F10" i="2" s="1"/>
  <c r="G9" i="2"/>
  <c r="F9" i="2" s="1"/>
  <c r="G8" i="2"/>
  <c r="F8" i="2" s="1"/>
  <c r="F7" i="2"/>
  <c r="G6" i="2"/>
  <c r="F6" i="2" s="1"/>
  <c r="G5" i="2"/>
  <c r="F5" i="2" s="1"/>
  <c r="G4" i="2"/>
  <c r="F4" i="2" s="1"/>
  <c r="D53" i="1"/>
  <c r="CH189" i="4" l="1"/>
  <c r="CJ189" i="4" s="1"/>
  <c r="CL189" i="4" s="1"/>
  <c r="CG207" i="4"/>
  <c r="CF207" i="4"/>
  <c r="CE207" i="4"/>
  <c r="CD207" i="4"/>
  <c r="CC207" i="4"/>
  <c r="CB207" i="4"/>
  <c r="BZ207" i="4"/>
  <c r="BY207" i="4"/>
  <c r="BX207" i="4"/>
  <c r="BV207" i="4"/>
  <c r="BU207" i="4"/>
  <c r="BT207" i="4"/>
  <c r="BR207" i="4"/>
  <c r="BP207" i="4"/>
  <c r="BO207" i="4"/>
  <c r="BN207" i="4"/>
  <c r="BM207" i="4"/>
  <c r="BL207" i="4"/>
  <c r="BK207" i="4"/>
  <c r="BI207" i="4"/>
  <c r="CM189" i="4" l="1"/>
  <c r="CN189" i="4" s="1"/>
  <c r="CO189" i="4" s="1"/>
  <c r="BJ189" i="4"/>
  <c r="BQ207" i="4"/>
  <c r="CK207" i="4" s="1"/>
  <c r="CP189" i="4" l="1"/>
  <c r="CQ189" i="4" s="1"/>
  <c r="BS207" i="4"/>
  <c r="BW207" i="4"/>
  <c r="CA207" i="4"/>
  <c r="CH207" i="4" l="1"/>
  <c r="CJ207" i="4" s="1"/>
  <c r="CL207" i="4" s="1"/>
  <c r="CM207" i="4" l="1"/>
  <c r="CN207" i="4" s="1"/>
  <c r="CO207" i="4" s="1"/>
  <c r="BJ207" i="4"/>
  <c r="AZ212" i="4"/>
  <c r="AZ214" i="4" s="1"/>
  <c r="AY212" i="4"/>
  <c r="AY214" i="4" s="1"/>
  <c r="AX212" i="4"/>
  <c r="AX214" i="4" s="1"/>
  <c r="AW212" i="4"/>
  <c r="AW214" i="4" s="1"/>
  <c r="AV212" i="4"/>
  <c r="AV214" i="4" s="1"/>
  <c r="AU212" i="4"/>
  <c r="AU214" i="4" s="1"/>
  <c r="AT212" i="4"/>
  <c r="AT214" i="4" s="1"/>
  <c r="AS212" i="4"/>
  <c r="AS214" i="4" s="1"/>
  <c r="C127" i="1"/>
  <c r="I19" i="7"/>
  <c r="H19" i="7"/>
  <c r="G19" i="7"/>
  <c r="E19" i="7"/>
  <c r="F19" i="7"/>
  <c r="D19" i="7"/>
  <c r="C19" i="7"/>
  <c r="H18" i="7"/>
  <c r="G18" i="7"/>
  <c r="F18" i="7"/>
  <c r="D18" i="7"/>
  <c r="I18" i="7"/>
  <c r="E18" i="7"/>
  <c r="C18" i="7"/>
  <c r="I15" i="7"/>
  <c r="H15" i="7"/>
  <c r="G15" i="7"/>
  <c r="F15" i="7"/>
  <c r="E15" i="7"/>
  <c r="D15" i="7"/>
  <c r="C15" i="7"/>
  <c r="I35" i="7"/>
  <c r="H35" i="7"/>
  <c r="G35" i="7"/>
  <c r="F35" i="7"/>
  <c r="E35" i="7"/>
  <c r="D35" i="7"/>
  <c r="C35" i="7"/>
  <c r="I34" i="7"/>
  <c r="H34" i="7"/>
  <c r="G34" i="7"/>
  <c r="F34" i="7"/>
  <c r="E34" i="7"/>
  <c r="D34" i="7"/>
  <c r="C34" i="7"/>
  <c r="I33" i="7"/>
  <c r="H33" i="7"/>
  <c r="G33" i="7"/>
  <c r="F33" i="7"/>
  <c r="E33" i="7"/>
  <c r="D33" i="7"/>
  <c r="C33" i="7"/>
  <c r="I32" i="7"/>
  <c r="H32" i="7"/>
  <c r="G32" i="7"/>
  <c r="F32" i="7"/>
  <c r="E32" i="7"/>
  <c r="D32" i="7"/>
  <c r="C32" i="7"/>
  <c r="I31" i="7"/>
  <c r="H31" i="7"/>
  <c r="G31" i="7"/>
  <c r="F31" i="7"/>
  <c r="E31" i="7"/>
  <c r="D31" i="7"/>
  <c r="C31" i="7"/>
  <c r="I30" i="7"/>
  <c r="H30" i="7"/>
  <c r="G30" i="7"/>
  <c r="F30" i="7"/>
  <c r="E30" i="7"/>
  <c r="D30" i="7"/>
  <c r="C30" i="7"/>
  <c r="I29" i="7"/>
  <c r="H29" i="7"/>
  <c r="G29" i="7"/>
  <c r="F29" i="7"/>
  <c r="E29" i="7"/>
  <c r="D29" i="7"/>
  <c r="C29" i="7"/>
  <c r="I28" i="7"/>
  <c r="H28" i="7"/>
  <c r="G28" i="7"/>
  <c r="F28" i="7"/>
  <c r="E28" i="7"/>
  <c r="D28" i="7"/>
  <c r="C28" i="7"/>
  <c r="I27" i="7"/>
  <c r="H27" i="7"/>
  <c r="G27" i="7"/>
  <c r="F27" i="7"/>
  <c r="E27" i="7"/>
  <c r="D27" i="7"/>
  <c r="C27" i="7"/>
  <c r="I26" i="7"/>
  <c r="H26" i="7"/>
  <c r="G26" i="7"/>
  <c r="F26" i="7"/>
  <c r="E26" i="7"/>
  <c r="D26" i="7"/>
  <c r="C26" i="7"/>
  <c r="I25" i="7"/>
  <c r="H25" i="7"/>
  <c r="G25" i="7"/>
  <c r="F25" i="7"/>
  <c r="E25" i="7"/>
  <c r="D25" i="7"/>
  <c r="C25" i="7"/>
  <c r="I24" i="7"/>
  <c r="H24" i="7"/>
  <c r="G24" i="7"/>
  <c r="F24" i="7"/>
  <c r="E24" i="7"/>
  <c r="D24" i="7"/>
  <c r="C24" i="7"/>
  <c r="I22" i="7"/>
  <c r="H22" i="7"/>
  <c r="G22" i="7"/>
  <c r="F22" i="7"/>
  <c r="E22" i="7"/>
  <c r="D22" i="7"/>
  <c r="C22" i="7"/>
  <c r="I16" i="7"/>
  <c r="H16" i="7"/>
  <c r="G16" i="7"/>
  <c r="F16" i="7"/>
  <c r="E16" i="7"/>
  <c r="D16" i="7"/>
  <c r="C16" i="7"/>
  <c r="I14" i="7"/>
  <c r="H14" i="7"/>
  <c r="G14" i="7"/>
  <c r="F14" i="7"/>
  <c r="E14" i="7"/>
  <c r="D14" i="7"/>
  <c r="C14" i="7"/>
  <c r="I13" i="7"/>
  <c r="H13" i="7"/>
  <c r="G13" i="7"/>
  <c r="F13" i="7"/>
  <c r="E13" i="7"/>
  <c r="D13" i="7"/>
  <c r="C13" i="7"/>
  <c r="I12" i="7"/>
  <c r="H12" i="7"/>
  <c r="G12" i="7"/>
  <c r="F12" i="7"/>
  <c r="E12" i="7"/>
  <c r="D12" i="7"/>
  <c r="C12" i="7"/>
  <c r="I8" i="7"/>
  <c r="H8" i="7"/>
  <c r="G8" i="7"/>
  <c r="F8" i="7"/>
  <c r="E8" i="7"/>
  <c r="D8" i="7"/>
  <c r="C8" i="7"/>
  <c r="I2" i="7"/>
  <c r="H2" i="7"/>
  <c r="G2" i="7"/>
  <c r="F2" i="7"/>
  <c r="E2" i="7"/>
  <c r="D2" i="7"/>
  <c r="C2" i="7"/>
  <c r="D88" i="17"/>
  <c r="D87" i="17"/>
  <c r="D86" i="17"/>
  <c r="D85" i="17"/>
  <c r="D84" i="17"/>
  <c r="D83" i="17"/>
  <c r="D56" i="17"/>
  <c r="D55" i="17"/>
  <c r="D54" i="17"/>
  <c r="D53" i="17"/>
  <c r="D52" i="17"/>
  <c r="D49" i="17"/>
  <c r="D48" i="17"/>
  <c r="D47" i="17"/>
  <c r="D46" i="17"/>
  <c r="D43" i="17"/>
  <c r="D42" i="17"/>
  <c r="D41" i="17"/>
  <c r="D40" i="17"/>
  <c r="D39" i="17"/>
  <c r="D38" i="17"/>
  <c r="D37" i="17"/>
  <c r="D34" i="17"/>
  <c r="D31" i="17"/>
  <c r="D28" i="17"/>
  <c r="D25" i="17"/>
  <c r="D22" i="17"/>
  <c r="D19" i="17"/>
  <c r="D12" i="17"/>
  <c r="D11" i="17"/>
  <c r="D10" i="17"/>
  <c r="C5" i="17"/>
  <c r="D5" i="17" s="1"/>
  <c r="C1" i="17"/>
  <c r="DH226" i="4"/>
  <c r="CZ226" i="4"/>
  <c r="BJ226" i="4"/>
  <c r="BG226" i="4"/>
  <c r="BF226" i="4"/>
  <c r="BE226" i="4"/>
  <c r="CY212" i="4"/>
  <c r="CY226" i="4" s="1"/>
  <c r="CX212" i="4"/>
  <c r="CX226" i="4" s="1"/>
  <c r="CW212" i="4"/>
  <c r="CW226" i="4" s="1"/>
  <c r="CV212" i="4"/>
  <c r="CV226" i="4" s="1"/>
  <c r="CU212" i="4"/>
  <c r="CU226" i="4" s="1"/>
  <c r="BB212" i="4"/>
  <c r="BB226" i="4" s="1"/>
  <c r="R212" i="4"/>
  <c r="E21" i="6" s="1"/>
  <c r="Q212" i="4"/>
  <c r="E20" i="6" s="1"/>
  <c r="B2" i="4"/>
  <c r="B1" i="4" s="1"/>
  <c r="E21" i="7" s="1"/>
  <c r="A1" i="4"/>
  <c r="K20" i="5"/>
  <c r="E19" i="5" a="1"/>
  <c r="E19" i="5" s="1"/>
  <c r="E18" i="5" a="1"/>
  <c r="E18" i="5" s="1"/>
  <c r="E17" i="5" a="1"/>
  <c r="E17" i="5" s="1"/>
  <c r="E16" i="5" a="1"/>
  <c r="E16" i="5" s="1"/>
  <c r="E15" i="5" a="1"/>
  <c r="E15" i="5" s="1"/>
  <c r="J14" i="5" a="1"/>
  <c r="J14" i="5" s="1"/>
  <c r="E14" i="5" a="1"/>
  <c r="E14" i="5" s="1"/>
  <c r="J13" i="5" a="1"/>
  <c r="J13" i="5" s="1"/>
  <c r="E13" i="5" a="1"/>
  <c r="E13" i="5" s="1"/>
  <c r="A8" i="5"/>
  <c r="B97" i="1"/>
  <c r="B27" i="1"/>
  <c r="A17" i="1"/>
  <c r="A18" i="1"/>
  <c r="A19" i="1"/>
  <c r="A20" i="1" s="1"/>
  <c r="A21" i="1" s="1"/>
  <c r="C9" i="5"/>
  <c r="D12" i="5"/>
  <c r="C6" i="17"/>
  <c r="H12" i="5"/>
  <c r="G13" i="5" a="1"/>
  <c r="G15" i="5" a="1"/>
  <c r="G14" i="5" a="1"/>
  <c r="G17" i="5" a="1"/>
  <c r="G16" i="5" a="1"/>
  <c r="G19" i="5" a="1"/>
  <c r="G18" i="5" a="1"/>
  <c r="B25" i="1" l="1"/>
  <c r="A22" i="1"/>
  <c r="B28" i="1" s="1"/>
  <c r="E45" i="6"/>
  <c r="E44" i="6"/>
  <c r="E46" i="6"/>
  <c r="E47" i="6"/>
  <c r="E43" i="6"/>
  <c r="E48" i="6"/>
  <c r="E42" i="6"/>
  <c r="E49" i="6"/>
  <c r="B26" i="1"/>
  <c r="E51" i="6"/>
  <c r="R226" i="4"/>
  <c r="Q226" i="4"/>
  <c r="C2" i="4"/>
  <c r="K14" i="5"/>
  <c r="D6" i="17"/>
  <c r="E21" i="5"/>
  <c r="K13" i="5"/>
  <c r="D21" i="7"/>
  <c r="H21" i="7"/>
  <c r="F21" i="7"/>
  <c r="I21" i="7"/>
  <c r="C21" i="7"/>
  <c r="G21" i="7"/>
  <c r="G19" i="5"/>
  <c r="G16" i="5"/>
  <c r="G17" i="5"/>
  <c r="G14" i="5"/>
  <c r="G13" i="5"/>
  <c r="G15" i="5"/>
  <c r="G18" i="5"/>
  <c r="A25" i="1" l="1"/>
  <c r="A26" i="1" s="1"/>
  <c r="A27" i="1" s="1"/>
  <c r="A28" i="1" s="1"/>
  <c r="A29" i="1" s="1"/>
  <c r="A30" i="1" s="1"/>
  <c r="A31" i="1" s="1"/>
  <c r="A32" i="1" s="1"/>
  <c r="A33" i="1" s="1"/>
  <c r="A34" i="1" s="1"/>
  <c r="A35" i="1" s="1"/>
  <c r="A36" i="1" s="1"/>
  <c r="A38" i="1" s="1"/>
  <c r="A39" i="1" s="1"/>
  <c r="A41" i="1" s="1"/>
  <c r="A42" i="1" s="1"/>
  <c r="A44" i="1" s="1"/>
  <c r="C1" i="4"/>
  <c r="C10" i="5" s="1"/>
  <c r="D2" i="4"/>
  <c r="G21" i="5"/>
  <c r="B44" i="1" l="1"/>
  <c r="A45" i="1"/>
  <c r="A46" i="1" s="1"/>
  <c r="A47" i="1" s="1"/>
  <c r="E23" i="7"/>
  <c r="C23" i="7"/>
  <c r="D23" i="7"/>
  <c r="H23" i="7"/>
  <c r="I23" i="7"/>
  <c r="G23" i="7"/>
  <c r="F23" i="7"/>
  <c r="E2" i="4"/>
  <c r="A48" i="1" l="1"/>
  <c r="F2" i="4"/>
  <c r="E1" i="4"/>
  <c r="G20" i="7"/>
  <c r="H4" i="7"/>
  <c r="D4" i="7"/>
  <c r="E5" i="7"/>
  <c r="C6" i="5"/>
  <c r="H5" i="7"/>
  <c r="C5" i="7"/>
  <c r="F4" i="7"/>
  <c r="F20" i="7"/>
  <c r="F7" i="1"/>
  <c r="F73" i="1" s="1"/>
  <c r="G5" i="7"/>
  <c r="H20" i="7"/>
  <c r="F5" i="7"/>
  <c r="G4" i="7"/>
  <c r="I20" i="7"/>
  <c r="E4" i="7"/>
  <c r="C20" i="7"/>
  <c r="D5" i="7"/>
  <c r="D20" i="7"/>
  <c r="I4" i="7"/>
  <c r="C4" i="17"/>
  <c r="D4" i="17" s="1"/>
  <c r="E20" i="7"/>
  <c r="I5" i="7"/>
  <c r="C4" i="7"/>
  <c r="A49" i="1" l="1"/>
  <c r="A50" i="1" s="1"/>
  <c r="A51" i="1" s="1"/>
  <c r="B7" i="1"/>
  <c r="C8" i="5"/>
  <c r="G2" i="4"/>
  <c r="F1" i="4"/>
  <c r="A54" i="1" l="1"/>
  <c r="A55" i="1" s="1"/>
  <c r="A56" i="1"/>
  <c r="A57" i="1" s="1"/>
  <c r="A58" i="1" s="1"/>
  <c r="BK199" i="4"/>
  <c r="BO199" i="4"/>
  <c r="BN199" i="4"/>
  <c r="BM199" i="4"/>
  <c r="BL199" i="4"/>
  <c r="BO73" i="4"/>
  <c r="BN73" i="4"/>
  <c r="BL73" i="4"/>
  <c r="BK73" i="4"/>
  <c r="BM73" i="4"/>
  <c r="BO100" i="4"/>
  <c r="BN100" i="4"/>
  <c r="BL100" i="4"/>
  <c r="BK100" i="4"/>
  <c r="BM100" i="4"/>
  <c r="F222" i="4"/>
  <c r="F221" i="4"/>
  <c r="F220" i="4"/>
  <c r="F219" i="4"/>
  <c r="F218" i="4"/>
  <c r="G1" i="4"/>
  <c r="H2" i="4"/>
  <c r="B55" i="1" l="1"/>
  <c r="B58" i="1"/>
  <c r="A77" i="1"/>
  <c r="A78" i="1" s="1"/>
  <c r="A79" i="1" s="1"/>
  <c r="A80" i="1" s="1"/>
  <c r="A81" i="1" s="1"/>
  <c r="A82" i="1" s="1"/>
  <c r="A83" i="1" s="1"/>
  <c r="B61" i="1"/>
  <c r="F226" i="4"/>
  <c r="H1" i="4"/>
  <c r="C7" i="17" s="1"/>
  <c r="D7" i="17" s="1"/>
  <c r="I2" i="4"/>
  <c r="B57" i="1" l="1"/>
  <c r="A87" i="1"/>
  <c r="A88" i="1" s="1"/>
  <c r="A89" i="1" s="1"/>
  <c r="B89" i="1"/>
  <c r="BW22" i="4"/>
  <c r="BW49" i="4"/>
  <c r="BW48" i="4"/>
  <c r="BW100" i="4"/>
  <c r="BW101" i="4"/>
  <c r="BW124" i="4"/>
  <c r="BW137" i="4"/>
  <c r="BW156" i="4"/>
  <c r="J2" i="4"/>
  <c r="I1" i="4"/>
  <c r="A90" i="1" l="1"/>
  <c r="B91" i="1"/>
  <c r="BW171" i="4"/>
  <c r="BW201" i="4"/>
  <c r="BW149" i="4"/>
  <c r="BW120" i="4"/>
  <c r="BW75" i="4"/>
  <c r="BW47" i="4"/>
  <c r="BW16" i="4"/>
  <c r="BW112" i="4"/>
  <c r="BW74" i="4"/>
  <c r="BW59" i="4"/>
  <c r="BW35" i="4"/>
  <c r="BW9" i="4"/>
  <c r="BW210" i="4"/>
  <c r="BW150" i="4"/>
  <c r="BW136" i="4"/>
  <c r="BW89" i="4"/>
  <c r="BW82" i="4"/>
  <c r="BW36" i="4"/>
  <c r="BW21" i="4"/>
  <c r="BW179" i="4"/>
  <c r="BW170" i="4"/>
  <c r="BW50" i="4"/>
  <c r="BW37" i="4"/>
  <c r="K2" i="4"/>
  <c r="J1" i="4"/>
  <c r="A91" i="1" l="1"/>
  <c r="BI7" i="4"/>
  <c r="BI15" i="4"/>
  <c r="BI23" i="4"/>
  <c r="BI10" i="4"/>
  <c r="BI18" i="4"/>
  <c r="BI13" i="4"/>
  <c r="BI21" i="4"/>
  <c r="BI8" i="4"/>
  <c r="BI16" i="4"/>
  <c r="BI24" i="4"/>
  <c r="BI11" i="4"/>
  <c r="BI19" i="4"/>
  <c r="BI9" i="4"/>
  <c r="BI17" i="4"/>
  <c r="BI25" i="4"/>
  <c r="BI12" i="4"/>
  <c r="BI20" i="4"/>
  <c r="BI6" i="4"/>
  <c r="BI29" i="4"/>
  <c r="BI37" i="4"/>
  <c r="BI32" i="4"/>
  <c r="BI41" i="4"/>
  <c r="BI14" i="4"/>
  <c r="BI27" i="4"/>
  <c r="BI35" i="4"/>
  <c r="BI30" i="4"/>
  <c r="BI39" i="4"/>
  <c r="BI22" i="4"/>
  <c r="BI33" i="4"/>
  <c r="BI42" i="4"/>
  <c r="BI31" i="4"/>
  <c r="BI40" i="4"/>
  <c r="BI26" i="4"/>
  <c r="BI34" i="4"/>
  <c r="BI43" i="4"/>
  <c r="BI48" i="4"/>
  <c r="BI56" i="4"/>
  <c r="BI51" i="4"/>
  <c r="BI46" i="4"/>
  <c r="BI54" i="4"/>
  <c r="BI28" i="4"/>
  <c r="BI49" i="4"/>
  <c r="BI44" i="4"/>
  <c r="BI52" i="4"/>
  <c r="BI36" i="4"/>
  <c r="BI47" i="4"/>
  <c r="BI55" i="4"/>
  <c r="BI50" i="4"/>
  <c r="BI57" i="4"/>
  <c r="BI63" i="4"/>
  <c r="BI71" i="4"/>
  <c r="BI53" i="4"/>
  <c r="BI66" i="4"/>
  <c r="BI61" i="4"/>
  <c r="BI69" i="4"/>
  <c r="BI58" i="4"/>
  <c r="BI64" i="4"/>
  <c r="BI72" i="4"/>
  <c r="BI60" i="4"/>
  <c r="BI67" i="4"/>
  <c r="BI59" i="4"/>
  <c r="BI45" i="4"/>
  <c r="BI68" i="4"/>
  <c r="BI78" i="4"/>
  <c r="BI86" i="4"/>
  <c r="BI81" i="4"/>
  <c r="BI62" i="4"/>
  <c r="BI75" i="4"/>
  <c r="BI84" i="4"/>
  <c r="BI76" i="4"/>
  <c r="BI79" i="4"/>
  <c r="BI74" i="4"/>
  <c r="BI82" i="4"/>
  <c r="BI73" i="4"/>
  <c r="BI77" i="4"/>
  <c r="BI85" i="4"/>
  <c r="BI70" i="4"/>
  <c r="BI80" i="4"/>
  <c r="BI88" i="4"/>
  <c r="BI87" i="4"/>
  <c r="BI94" i="4"/>
  <c r="BI102" i="4"/>
  <c r="BI97" i="4"/>
  <c r="BI105" i="4"/>
  <c r="BI90" i="4"/>
  <c r="BI92" i="4"/>
  <c r="BI100" i="4"/>
  <c r="BI83" i="4"/>
  <c r="BI95" i="4"/>
  <c r="BI103" i="4"/>
  <c r="BI65" i="4"/>
  <c r="BI98" i="4"/>
  <c r="BI106" i="4"/>
  <c r="BI89" i="4"/>
  <c r="BI96" i="4"/>
  <c r="BI104" i="4"/>
  <c r="BI91" i="4"/>
  <c r="BI99" i="4"/>
  <c r="BI107" i="4"/>
  <c r="BI111" i="4"/>
  <c r="BI119" i="4"/>
  <c r="BI114" i="4"/>
  <c r="BI122" i="4"/>
  <c r="BI109" i="4"/>
  <c r="BI117" i="4"/>
  <c r="BI125" i="4"/>
  <c r="BI93" i="4"/>
  <c r="BI108" i="4"/>
  <c r="BI112" i="4"/>
  <c r="BI120" i="4"/>
  <c r="BI115" i="4"/>
  <c r="BI123" i="4"/>
  <c r="BI113" i="4"/>
  <c r="BI121" i="4"/>
  <c r="BI116" i="4"/>
  <c r="BI124" i="4"/>
  <c r="BI131" i="4"/>
  <c r="BI138" i="4"/>
  <c r="BI101" i="4"/>
  <c r="BI110" i="4"/>
  <c r="BI127" i="4"/>
  <c r="BI134" i="4"/>
  <c r="BI141" i="4"/>
  <c r="BI136" i="4"/>
  <c r="BI144" i="4"/>
  <c r="BI118" i="4"/>
  <c r="BI139" i="4"/>
  <c r="BI128" i="4"/>
  <c r="BI142" i="4"/>
  <c r="BI133" i="4"/>
  <c r="BI140" i="4"/>
  <c r="BI126" i="4"/>
  <c r="BI129" i="4"/>
  <c r="BI135" i="4"/>
  <c r="BI143" i="4"/>
  <c r="BI151" i="4"/>
  <c r="BI159" i="4"/>
  <c r="BI167" i="4"/>
  <c r="BI174" i="4"/>
  <c r="BI130" i="4"/>
  <c r="BI146" i="4"/>
  <c r="BI154" i="4"/>
  <c r="BI162" i="4"/>
  <c r="BI149" i="4"/>
  <c r="BI157" i="4"/>
  <c r="BI165" i="4"/>
  <c r="BI172" i="4"/>
  <c r="BI137" i="4"/>
  <c r="BI152" i="4"/>
  <c r="BI160" i="4"/>
  <c r="BI168" i="4"/>
  <c r="BI147" i="4"/>
  <c r="BI155" i="4"/>
  <c r="BI163" i="4"/>
  <c r="BI170" i="4"/>
  <c r="BI150" i="4"/>
  <c r="BI158" i="4"/>
  <c r="BI166" i="4"/>
  <c r="BI173" i="4"/>
  <c r="BI153" i="4"/>
  <c r="BI161" i="4"/>
  <c r="BI169" i="4"/>
  <c r="BI176" i="4"/>
  <c r="BI156" i="4"/>
  <c r="BI180" i="4"/>
  <c r="BI187" i="4"/>
  <c r="BI202" i="4"/>
  <c r="BI208" i="4"/>
  <c r="BI175" i="4"/>
  <c r="BI183" i="4"/>
  <c r="BI191" i="4"/>
  <c r="BI197" i="4"/>
  <c r="BI204" i="4"/>
  <c r="BI164" i="4"/>
  <c r="BI186" i="4"/>
  <c r="BI194" i="4"/>
  <c r="BI200" i="4"/>
  <c r="BI206" i="4"/>
  <c r="BI181" i="4"/>
  <c r="BI188" i="4"/>
  <c r="BI195" i="4"/>
  <c r="BI203" i="4"/>
  <c r="BI171" i="4"/>
  <c r="BI184" i="4"/>
  <c r="BI192" i="4"/>
  <c r="BI198" i="4"/>
  <c r="BI145" i="4"/>
  <c r="BI148" i="4"/>
  <c r="BI178" i="4"/>
  <c r="BI182" i="4"/>
  <c r="BI190" i="4"/>
  <c r="BI196" i="4"/>
  <c r="BI177" i="4"/>
  <c r="BI179" i="4"/>
  <c r="BI185" i="4"/>
  <c r="BI193" i="4"/>
  <c r="BI199" i="4"/>
  <c r="BI205" i="4"/>
  <c r="BI210" i="4"/>
  <c r="BI209" i="4"/>
  <c r="BI201" i="4"/>
  <c r="J212" i="4"/>
  <c r="F129" i="1"/>
  <c r="F131" i="1" s="1"/>
  <c r="F121" i="1"/>
  <c r="C8" i="17"/>
  <c r="D8" i="17" s="1"/>
  <c r="K1" i="4"/>
  <c r="L2" i="4"/>
  <c r="B56" i="1" l="1"/>
  <c r="A95" i="1"/>
  <c r="A96" i="1" s="1"/>
  <c r="A97" i="1" s="1"/>
  <c r="A98" i="1" s="1"/>
  <c r="A104" i="1"/>
  <c r="B98" i="1"/>
  <c r="A105" i="1"/>
  <c r="A106" i="1" s="1"/>
  <c r="A107" i="1" s="1"/>
  <c r="A108" i="1" s="1"/>
  <c r="A109" i="1" s="1"/>
  <c r="A110" i="1" s="1"/>
  <c r="A111" i="1" s="1"/>
  <c r="A112" i="1" s="1"/>
  <c r="A113" i="1" s="1"/>
  <c r="B71" i="1"/>
  <c r="J226" i="4"/>
  <c r="E15" i="6"/>
  <c r="K212" i="4"/>
  <c r="BI5" i="4"/>
  <c r="M2" i="4"/>
  <c r="F122" i="1"/>
  <c r="F123" i="1" s="1"/>
  <c r="C82" i="17"/>
  <c r="D82" i="17" s="1"/>
  <c r="A114" i="1" l="1"/>
  <c r="A117" i="1" s="1"/>
  <c r="L212" i="4"/>
  <c r="L1" i="4"/>
  <c r="K226" i="4"/>
  <c r="E16" i="6"/>
  <c r="BI212" i="4"/>
  <c r="BI226" i="4" s="1"/>
  <c r="C126" i="1"/>
  <c r="M1" i="4"/>
  <c r="N2" i="4"/>
  <c r="C107" i="17" l="1"/>
  <c r="D107" i="17" s="1"/>
  <c r="A121" i="1"/>
  <c r="B62" i="1"/>
  <c r="B129" i="1"/>
  <c r="A122" i="1"/>
  <c r="A123" i="1" s="1"/>
  <c r="L226" i="4"/>
  <c r="E17" i="6"/>
  <c r="M212" i="4"/>
  <c r="N1" i="4"/>
  <c r="F87" i="1" s="1"/>
  <c r="O2" i="4"/>
  <c r="A126" i="1" l="1"/>
  <c r="A127" i="1" s="1"/>
  <c r="A128" i="1" s="1"/>
  <c r="A129" i="1" s="1"/>
  <c r="A130" i="1" s="1"/>
  <c r="A131" i="1" s="1"/>
  <c r="A132" i="1" s="1"/>
  <c r="O1" i="4"/>
  <c r="N212" i="4"/>
  <c r="M226" i="4"/>
  <c r="E18" i="6"/>
  <c r="P2" i="4"/>
  <c r="C9" i="17"/>
  <c r="D9" i="17" s="1"/>
  <c r="F89" i="1"/>
  <c r="A135" i="1" l="1"/>
  <c r="A136" i="1" s="1"/>
  <c r="A137" i="1" s="1"/>
  <c r="A139" i="1" s="1"/>
  <c r="A140" i="1" s="1"/>
  <c r="A141" i="1" s="1"/>
  <c r="A142" i="1" s="1"/>
  <c r="B132" i="1"/>
  <c r="E19" i="6"/>
  <c r="N226" i="4"/>
  <c r="O212" i="4"/>
  <c r="C85" i="1"/>
  <c r="C110" i="17"/>
  <c r="D110" i="17" s="1"/>
  <c r="Q2" i="4"/>
  <c r="P212" i="4" l="1"/>
  <c r="P1" i="4"/>
  <c r="C111" i="17" s="1"/>
  <c r="D111" i="17" s="1"/>
  <c r="R2" i="4"/>
  <c r="Q1" i="4"/>
  <c r="D85" i="1" l="1"/>
  <c r="E85" i="1" s="1"/>
  <c r="S2" i="4"/>
  <c r="R1" i="4"/>
  <c r="C13" i="17"/>
  <c r="D13" i="17" s="1"/>
  <c r="F95" i="1"/>
  <c r="T2" i="4" l="1"/>
  <c r="S1" i="4"/>
  <c r="C14" i="17"/>
  <c r="D14" i="17" s="1"/>
  <c r="F96" i="1"/>
  <c r="F97" i="1" s="1"/>
  <c r="F98" i="1" s="1"/>
  <c r="E71" i="1" s="1"/>
  <c r="S212" i="4" l="1"/>
  <c r="C15" i="17"/>
  <c r="D15" i="17" s="1"/>
  <c r="D77" i="1"/>
  <c r="F77" i="1" s="1"/>
  <c r="T1" i="4"/>
  <c r="U2" i="4"/>
  <c r="E22" i="6" l="1"/>
  <c r="S226" i="4"/>
  <c r="T212" i="4"/>
  <c r="T214" i="4" s="1"/>
  <c r="V2" i="4"/>
  <c r="C16" i="17"/>
  <c r="D16" i="17" s="1"/>
  <c r="D78" i="1"/>
  <c r="F78" i="1" s="1"/>
  <c r="U212" i="4" l="1"/>
  <c r="U214" i="4" s="1"/>
  <c r="E23" i="6"/>
  <c r="T226" i="4"/>
  <c r="U1" i="4"/>
  <c r="C102" i="17" s="1"/>
  <c r="W2" i="4"/>
  <c r="D79" i="1" l="1"/>
  <c r="F79" i="1" s="1"/>
  <c r="V212" i="4"/>
  <c r="V214" i="4" s="1"/>
  <c r="V1" i="4"/>
  <c r="D80" i="1" s="1"/>
  <c r="F80" i="1" s="1"/>
  <c r="U226" i="4"/>
  <c r="E24" i="6"/>
  <c r="D102" i="17"/>
  <c r="D101" i="17"/>
  <c r="X2" i="4"/>
  <c r="W1" i="4"/>
  <c r="C103" i="17" l="1"/>
  <c r="D103" i="17" s="1"/>
  <c r="W212" i="4"/>
  <c r="W214" i="4" s="1"/>
  <c r="E25" i="6"/>
  <c r="V226" i="4"/>
  <c r="D81" i="1"/>
  <c r="F81" i="1" s="1"/>
  <c r="C104" i="17"/>
  <c r="D104" i="17" s="1"/>
  <c r="Y2" i="4"/>
  <c r="X212" i="4" l="1"/>
  <c r="X214" i="4" s="1"/>
  <c r="X1" i="4"/>
  <c r="C105" i="17" s="1"/>
  <c r="D105" i="17" s="1"/>
  <c r="W226" i="4"/>
  <c r="E26" i="6"/>
  <c r="Y1" i="4"/>
  <c r="Z2" i="4"/>
  <c r="BT149" i="4" l="1"/>
  <c r="BK149" i="4"/>
  <c r="BT100" i="4"/>
  <c r="BT88" i="4"/>
  <c r="BK88" i="4"/>
  <c r="BT70" i="4"/>
  <c r="BK70" i="4"/>
  <c r="BT55" i="4"/>
  <c r="BK55" i="4"/>
  <c r="BT40" i="4"/>
  <c r="BK40" i="4"/>
  <c r="BT16" i="4"/>
  <c r="BK16" i="4"/>
  <c r="BT12" i="4"/>
  <c r="BK12" i="4"/>
  <c r="BT209" i="4"/>
  <c r="BK209" i="4"/>
  <c r="BT181" i="4"/>
  <c r="BK181" i="4"/>
  <c r="BT180" i="4"/>
  <c r="BK180" i="4"/>
  <c r="BT196" i="4"/>
  <c r="BK196" i="4"/>
  <c r="BT192" i="4"/>
  <c r="BK192" i="4"/>
  <c r="BT177" i="4"/>
  <c r="BK177" i="4"/>
  <c r="BT159" i="4"/>
  <c r="BK159" i="4"/>
  <c r="BT161" i="4"/>
  <c r="BK161" i="4"/>
  <c r="BT143" i="4"/>
  <c r="BK143" i="4"/>
  <c r="BT144" i="4"/>
  <c r="BK144" i="4"/>
  <c r="BT129" i="4"/>
  <c r="BK129" i="4"/>
  <c r="BT128" i="4"/>
  <c r="BK128" i="4"/>
  <c r="BT119" i="4"/>
  <c r="BK119" i="4"/>
  <c r="BT97" i="4"/>
  <c r="BK97" i="4"/>
  <c r="BT92" i="4"/>
  <c r="BK92" i="4"/>
  <c r="BT93" i="4"/>
  <c r="BK93" i="4"/>
  <c r="BT81" i="4"/>
  <c r="BK81" i="4"/>
  <c r="BT80" i="4"/>
  <c r="BK80" i="4"/>
  <c r="BT59" i="4"/>
  <c r="BK59" i="4"/>
  <c r="BT62" i="4"/>
  <c r="BK62" i="4"/>
  <c r="BT56" i="4"/>
  <c r="BK56" i="4"/>
  <c r="BT47" i="4"/>
  <c r="BK47" i="4"/>
  <c r="BT27" i="4"/>
  <c r="BK27" i="4"/>
  <c r="BT31" i="4"/>
  <c r="BK31" i="4"/>
  <c r="BT8" i="4"/>
  <c r="BK8" i="4"/>
  <c r="BT17" i="4"/>
  <c r="BK17" i="4"/>
  <c r="BT198" i="4"/>
  <c r="BK198" i="4"/>
  <c r="BT135" i="4"/>
  <c r="BK135" i="4"/>
  <c r="BT110" i="4"/>
  <c r="BK110" i="4"/>
  <c r="BT89" i="4"/>
  <c r="BK89" i="4"/>
  <c r="BT51" i="4"/>
  <c r="BK51" i="4"/>
  <c r="BT35" i="4"/>
  <c r="BK35" i="4"/>
  <c r="X226" i="4"/>
  <c r="E27" i="6"/>
  <c r="BT206" i="4"/>
  <c r="BK206" i="4"/>
  <c r="BT175" i="4"/>
  <c r="BK175" i="4"/>
  <c r="BT190" i="4"/>
  <c r="BK190" i="4"/>
  <c r="BT184" i="4"/>
  <c r="BK184" i="4"/>
  <c r="BT151" i="4"/>
  <c r="BK151" i="4"/>
  <c r="BT153" i="4"/>
  <c r="BK153" i="4"/>
  <c r="BT170" i="4"/>
  <c r="BK170" i="4"/>
  <c r="BT136" i="4"/>
  <c r="BK136" i="4"/>
  <c r="BT140" i="4"/>
  <c r="BK140" i="4"/>
  <c r="BT105" i="4"/>
  <c r="BK105" i="4"/>
  <c r="BT111" i="4"/>
  <c r="BK111" i="4"/>
  <c r="BT123" i="4"/>
  <c r="BK123" i="4"/>
  <c r="BT102" i="4"/>
  <c r="BK102" i="4"/>
  <c r="BT90" i="4"/>
  <c r="BK90" i="4"/>
  <c r="BT86" i="4"/>
  <c r="BK86" i="4"/>
  <c r="BT85" i="4"/>
  <c r="BK85" i="4"/>
  <c r="BT71" i="4"/>
  <c r="BK71" i="4"/>
  <c r="BT75" i="4"/>
  <c r="BK75" i="4"/>
  <c r="BT48" i="4"/>
  <c r="BK48" i="4"/>
  <c r="BT32" i="4"/>
  <c r="BK32" i="4"/>
  <c r="BT10" i="4"/>
  <c r="BK10" i="4"/>
  <c r="BT36" i="4"/>
  <c r="BK36" i="4"/>
  <c r="BT21" i="4"/>
  <c r="BK21" i="4"/>
  <c r="BT9" i="4"/>
  <c r="BK9" i="4"/>
  <c r="BT187" i="4"/>
  <c r="BK187" i="4"/>
  <c r="BT114" i="4"/>
  <c r="BK114" i="4"/>
  <c r="BT107" i="4"/>
  <c r="BK107" i="4"/>
  <c r="BT101" i="4"/>
  <c r="BK101" i="4"/>
  <c r="BL8" i="4"/>
  <c r="BL16" i="4"/>
  <c r="BL24" i="4"/>
  <c r="BL11" i="4"/>
  <c r="BL19" i="4"/>
  <c r="BL6" i="4"/>
  <c r="BL14" i="4"/>
  <c r="BL22" i="4"/>
  <c r="BL9" i="4"/>
  <c r="BL17" i="4"/>
  <c r="BL12" i="4"/>
  <c r="BL20" i="4"/>
  <c r="BL10" i="4"/>
  <c r="BL18" i="4"/>
  <c r="BL13" i="4"/>
  <c r="BL21" i="4"/>
  <c r="BL30" i="4"/>
  <c r="BL39" i="4"/>
  <c r="BL15" i="4"/>
  <c r="BL33" i="4"/>
  <c r="BL42" i="4"/>
  <c r="BL28" i="4"/>
  <c r="BL36" i="4"/>
  <c r="BL23" i="4"/>
  <c r="BL31" i="4"/>
  <c r="BL40" i="4"/>
  <c r="BL26" i="4"/>
  <c r="BL34" i="4"/>
  <c r="BL32" i="4"/>
  <c r="BL41" i="4"/>
  <c r="BL7" i="4"/>
  <c r="BL27" i="4"/>
  <c r="BL35" i="4"/>
  <c r="BL49" i="4"/>
  <c r="BL43" i="4"/>
  <c r="BL44" i="4"/>
  <c r="BL52" i="4"/>
  <c r="BL29" i="4"/>
  <c r="BL47" i="4"/>
  <c r="BL55" i="4"/>
  <c r="BL50" i="4"/>
  <c r="BL57" i="4"/>
  <c r="BL37" i="4"/>
  <c r="BL45" i="4"/>
  <c r="BL53" i="4"/>
  <c r="BL25" i="4"/>
  <c r="BL48" i="4"/>
  <c r="BL56" i="4"/>
  <c r="BL51" i="4"/>
  <c r="BL58" i="4"/>
  <c r="BL54" i="4"/>
  <c r="BL64" i="4"/>
  <c r="BL72" i="4"/>
  <c r="BL60" i="4"/>
  <c r="BL67" i="4"/>
  <c r="BL62" i="4"/>
  <c r="BL70" i="4"/>
  <c r="BL65" i="4"/>
  <c r="BL68" i="4"/>
  <c r="BL46" i="4"/>
  <c r="BL59" i="4"/>
  <c r="BL61" i="4"/>
  <c r="BL69" i="4"/>
  <c r="BL79" i="4"/>
  <c r="BL87" i="4"/>
  <c r="BL82" i="4"/>
  <c r="BL75" i="4"/>
  <c r="BL77" i="4"/>
  <c r="BL85" i="4"/>
  <c r="BL71" i="4"/>
  <c r="BL80" i="4"/>
  <c r="BL66" i="4"/>
  <c r="BL83" i="4"/>
  <c r="BL74" i="4"/>
  <c r="BL78" i="4"/>
  <c r="BL86" i="4"/>
  <c r="BL81" i="4"/>
  <c r="BL89" i="4"/>
  <c r="BL63" i="4"/>
  <c r="BL76" i="4"/>
  <c r="BL95" i="4"/>
  <c r="BL103" i="4"/>
  <c r="BL98" i="4"/>
  <c r="BL84" i="4"/>
  <c r="BL90" i="4"/>
  <c r="BL93" i="4"/>
  <c r="BL101" i="4"/>
  <c r="BL88" i="4"/>
  <c r="BL96" i="4"/>
  <c r="BL104" i="4"/>
  <c r="BL91" i="4"/>
  <c r="BL99" i="4"/>
  <c r="BL97" i="4"/>
  <c r="BL105" i="4"/>
  <c r="BL92" i="4"/>
  <c r="BL112" i="4"/>
  <c r="BL120" i="4"/>
  <c r="BL115" i="4"/>
  <c r="BL123" i="4"/>
  <c r="BL94" i="4"/>
  <c r="BL110" i="4"/>
  <c r="BL118" i="4"/>
  <c r="BL113" i="4"/>
  <c r="BL121" i="4"/>
  <c r="BL102" i="4"/>
  <c r="BL116" i="4"/>
  <c r="BL124" i="4"/>
  <c r="BL114" i="4"/>
  <c r="BL122" i="4"/>
  <c r="BL106" i="4"/>
  <c r="BL107" i="4"/>
  <c r="BL109" i="4"/>
  <c r="BL117" i="4"/>
  <c r="BL125" i="4"/>
  <c r="BL108" i="4"/>
  <c r="BL111" i="4"/>
  <c r="BL139" i="4"/>
  <c r="BL128" i="4"/>
  <c r="BL142" i="4"/>
  <c r="BL119" i="4"/>
  <c r="BL130" i="4"/>
  <c r="BL137" i="4"/>
  <c r="BL133" i="4"/>
  <c r="BL140" i="4"/>
  <c r="BL129" i="4"/>
  <c r="BL135" i="4"/>
  <c r="BL127" i="4"/>
  <c r="BL134" i="4"/>
  <c r="BL141" i="4"/>
  <c r="BL126" i="4"/>
  <c r="BL136" i="4"/>
  <c r="BL131" i="4"/>
  <c r="BL152" i="4"/>
  <c r="BL160" i="4"/>
  <c r="BL168" i="4"/>
  <c r="BL175" i="4"/>
  <c r="BL147" i="4"/>
  <c r="BL155" i="4"/>
  <c r="BL163" i="4"/>
  <c r="BL170" i="4"/>
  <c r="BL138" i="4"/>
  <c r="BL143" i="4"/>
  <c r="BL150" i="4"/>
  <c r="BL158" i="4"/>
  <c r="BL166" i="4"/>
  <c r="BL173" i="4"/>
  <c r="BL145" i="4"/>
  <c r="BL153" i="4"/>
  <c r="BL161" i="4"/>
  <c r="BL169" i="4"/>
  <c r="BL148" i="4"/>
  <c r="BL156" i="4"/>
  <c r="BL164" i="4"/>
  <c r="BL171" i="4"/>
  <c r="BL151" i="4"/>
  <c r="BL159" i="4"/>
  <c r="BL167" i="4"/>
  <c r="BL174" i="4"/>
  <c r="BL144" i="4"/>
  <c r="BL146" i="4"/>
  <c r="BL154" i="4"/>
  <c r="BL162" i="4"/>
  <c r="BL177" i="4"/>
  <c r="BL181" i="4"/>
  <c r="BL188" i="4"/>
  <c r="BL195" i="4"/>
  <c r="BL203" i="4"/>
  <c r="BL209" i="4"/>
  <c r="BL165" i="4"/>
  <c r="BL176" i="4"/>
  <c r="BL184" i="4"/>
  <c r="BL192" i="4"/>
  <c r="BL198" i="4"/>
  <c r="BL201" i="4"/>
  <c r="BL172" i="4"/>
  <c r="BL179" i="4"/>
  <c r="BL182" i="4"/>
  <c r="BL190" i="4"/>
  <c r="BL196" i="4"/>
  <c r="BL185" i="4"/>
  <c r="BL193" i="4"/>
  <c r="BL178" i="4"/>
  <c r="BL183" i="4"/>
  <c r="BL191" i="4"/>
  <c r="BL197" i="4"/>
  <c r="BL204" i="4"/>
  <c r="BL157" i="4"/>
  <c r="BL186" i="4"/>
  <c r="BL194" i="4"/>
  <c r="BL200" i="4"/>
  <c r="BL206" i="4"/>
  <c r="BL205" i="4"/>
  <c r="BL208" i="4"/>
  <c r="BL180" i="4"/>
  <c r="BL149" i="4"/>
  <c r="BL187" i="4"/>
  <c r="BL202" i="4"/>
  <c r="BL210" i="4"/>
  <c r="Y212" i="4"/>
  <c r="Y214" i="4" s="1"/>
  <c r="BT5" i="4"/>
  <c r="BK5" i="4"/>
  <c r="BT183" i="4"/>
  <c r="BK183" i="4"/>
  <c r="BT200" i="4"/>
  <c r="BK200" i="4"/>
  <c r="BT152" i="4"/>
  <c r="BK152" i="4"/>
  <c r="BT182" i="4"/>
  <c r="BK182" i="4"/>
  <c r="BT168" i="4"/>
  <c r="BK168" i="4"/>
  <c r="BT162" i="4"/>
  <c r="BK162" i="4"/>
  <c r="BT171" i="4"/>
  <c r="BK171" i="4"/>
  <c r="BT145" i="4"/>
  <c r="BK145" i="4"/>
  <c r="BT163" i="4"/>
  <c r="BK163" i="4"/>
  <c r="BT133" i="4"/>
  <c r="BK133" i="4"/>
  <c r="BT120" i="4"/>
  <c r="BK120" i="4"/>
  <c r="BT87" i="4"/>
  <c r="BK87" i="4"/>
  <c r="BT115" i="4"/>
  <c r="BK115" i="4"/>
  <c r="BT94" i="4"/>
  <c r="BK94" i="4"/>
  <c r="BT106" i="4"/>
  <c r="BK106" i="4"/>
  <c r="BT78" i="4"/>
  <c r="BK78" i="4"/>
  <c r="BT77" i="4"/>
  <c r="BK77" i="4"/>
  <c r="BT63" i="4"/>
  <c r="BK63" i="4"/>
  <c r="BT67" i="4"/>
  <c r="BK67" i="4"/>
  <c r="BT53" i="4"/>
  <c r="BK53" i="4"/>
  <c r="BT52" i="4"/>
  <c r="BK52" i="4"/>
  <c r="BT37" i="4"/>
  <c r="BK37" i="4"/>
  <c r="BT28" i="4"/>
  <c r="BK28" i="4"/>
  <c r="BT13" i="4"/>
  <c r="BK13" i="4"/>
  <c r="BT22" i="4"/>
  <c r="BK22" i="4"/>
  <c r="BT204" i="4"/>
  <c r="BK204" i="4"/>
  <c r="BT179" i="4"/>
  <c r="BK179" i="4"/>
  <c r="BT141" i="4"/>
  <c r="BK141" i="4"/>
  <c r="BT116" i="4"/>
  <c r="BK116" i="4"/>
  <c r="BT103" i="4"/>
  <c r="BK103" i="4"/>
  <c r="BT99" i="4"/>
  <c r="BK99" i="4"/>
  <c r="BT98" i="4"/>
  <c r="BK98" i="4"/>
  <c r="BT74" i="4"/>
  <c r="BK74" i="4"/>
  <c r="BT82" i="4"/>
  <c r="BK82" i="4"/>
  <c r="BT68" i="4"/>
  <c r="BK68" i="4"/>
  <c r="BT60" i="4"/>
  <c r="BK60" i="4"/>
  <c r="BT45" i="4"/>
  <c r="BK45" i="4"/>
  <c r="BT44" i="4"/>
  <c r="BK44" i="4"/>
  <c r="BT29" i="4"/>
  <c r="BK29" i="4"/>
  <c r="BT42" i="4"/>
  <c r="BK42" i="4"/>
  <c r="BT23" i="4"/>
  <c r="BK23" i="4"/>
  <c r="BT14" i="4"/>
  <c r="BK14" i="4"/>
  <c r="BT167" i="4"/>
  <c r="BK167" i="4"/>
  <c r="BT208" i="4"/>
  <c r="BK208" i="4"/>
  <c r="BT134" i="4"/>
  <c r="BK134" i="4"/>
  <c r="BT155" i="4"/>
  <c r="BK155" i="4"/>
  <c r="BT178" i="4"/>
  <c r="BK178" i="4"/>
  <c r="BT186" i="4"/>
  <c r="BK186" i="4"/>
  <c r="BT199" i="4"/>
  <c r="BT201" i="4"/>
  <c r="BK201" i="4"/>
  <c r="BT172" i="4"/>
  <c r="BK172" i="4"/>
  <c r="BT146" i="4"/>
  <c r="BK146" i="4"/>
  <c r="BT156" i="4"/>
  <c r="BK156" i="4"/>
  <c r="BT173" i="4"/>
  <c r="BK173" i="4"/>
  <c r="BT147" i="4"/>
  <c r="BK147" i="4"/>
  <c r="BT124" i="4"/>
  <c r="BK124" i="4"/>
  <c r="BT130" i="4"/>
  <c r="BK130" i="4"/>
  <c r="BT125" i="4"/>
  <c r="BK125" i="4"/>
  <c r="BT121" i="4"/>
  <c r="BK121" i="4"/>
  <c r="BT95" i="4"/>
  <c r="BK95" i="4"/>
  <c r="BT91" i="4"/>
  <c r="BK91" i="4"/>
  <c r="BT84" i="4"/>
  <c r="BK84" i="4"/>
  <c r="BT61" i="4"/>
  <c r="BK61" i="4"/>
  <c r="BT69" i="4"/>
  <c r="BK69" i="4"/>
  <c r="BT54" i="4"/>
  <c r="BK54" i="4"/>
  <c r="BT41" i="4"/>
  <c r="BK41" i="4"/>
  <c r="BT43" i="4"/>
  <c r="BK43" i="4"/>
  <c r="BT25" i="4"/>
  <c r="BK25" i="4"/>
  <c r="BT33" i="4"/>
  <c r="BK33" i="4"/>
  <c r="BT15" i="4"/>
  <c r="BK15" i="4"/>
  <c r="BT6" i="4"/>
  <c r="BK6" i="4"/>
  <c r="BT191" i="4"/>
  <c r="BK191" i="4"/>
  <c r="BT169" i="4"/>
  <c r="BK169" i="4"/>
  <c r="BT194" i="4"/>
  <c r="BK194" i="4"/>
  <c r="BT164" i="4"/>
  <c r="BK164" i="4"/>
  <c r="BT137" i="4"/>
  <c r="BK137" i="4"/>
  <c r="BT112" i="4"/>
  <c r="BK112" i="4"/>
  <c r="D82" i="1"/>
  <c r="F82" i="1" s="1"/>
  <c r="F83" i="1" s="1"/>
  <c r="BT210" i="4"/>
  <c r="BK210" i="4"/>
  <c r="BT203" i="4"/>
  <c r="BK203" i="4"/>
  <c r="BT160" i="4"/>
  <c r="BK160" i="4"/>
  <c r="BT193" i="4"/>
  <c r="BK193" i="4"/>
  <c r="BT165" i="4"/>
  <c r="BK165" i="4"/>
  <c r="BT127" i="4"/>
  <c r="BK127" i="4"/>
  <c r="BT148" i="4"/>
  <c r="BK148" i="4"/>
  <c r="BT166" i="4"/>
  <c r="BK166" i="4"/>
  <c r="BT139" i="4"/>
  <c r="BK139" i="4"/>
  <c r="BT138" i="4"/>
  <c r="BK138" i="4"/>
  <c r="BT122" i="4"/>
  <c r="BK122" i="4"/>
  <c r="BT117" i="4"/>
  <c r="BK117" i="4"/>
  <c r="BT113" i="4"/>
  <c r="BK113" i="4"/>
  <c r="BT79" i="4"/>
  <c r="BK79" i="4"/>
  <c r="BT104" i="4"/>
  <c r="BK104" i="4"/>
  <c r="BT76" i="4"/>
  <c r="BK76" i="4"/>
  <c r="BT83" i="4"/>
  <c r="BK83" i="4"/>
  <c r="BT72" i="4"/>
  <c r="BK72" i="4"/>
  <c r="BT73" i="4"/>
  <c r="BT46" i="4"/>
  <c r="BK46" i="4"/>
  <c r="BT57" i="4"/>
  <c r="BK57" i="4"/>
  <c r="BT39" i="4"/>
  <c r="BK39" i="4"/>
  <c r="BT34" i="4"/>
  <c r="BK34" i="4"/>
  <c r="BT18" i="4"/>
  <c r="BK18" i="4"/>
  <c r="BT7" i="4"/>
  <c r="BK7" i="4"/>
  <c r="BT19" i="4"/>
  <c r="BK19" i="4"/>
  <c r="BT188" i="4"/>
  <c r="BK188" i="4"/>
  <c r="BT150" i="4"/>
  <c r="BK150" i="4"/>
  <c r="BT205" i="4"/>
  <c r="BK205" i="4"/>
  <c r="BT154" i="4"/>
  <c r="BK154" i="4"/>
  <c r="BT126" i="4"/>
  <c r="BK126" i="4"/>
  <c r="BT197" i="4"/>
  <c r="BK197" i="4"/>
  <c r="BK195" i="4"/>
  <c r="BT195" i="4"/>
  <c r="BT202" i="4"/>
  <c r="BK202" i="4"/>
  <c r="BT185" i="4"/>
  <c r="BK185" i="4"/>
  <c r="BT157" i="4"/>
  <c r="BK157" i="4"/>
  <c r="BT174" i="4"/>
  <c r="BK174" i="4"/>
  <c r="BT176" i="4"/>
  <c r="BK176" i="4"/>
  <c r="BT158" i="4"/>
  <c r="BK158" i="4"/>
  <c r="BT131" i="4"/>
  <c r="BK131" i="4"/>
  <c r="BT142" i="4"/>
  <c r="BK142" i="4"/>
  <c r="BT109" i="4"/>
  <c r="BK109" i="4"/>
  <c r="BT118" i="4"/>
  <c r="BK118" i="4"/>
  <c r="BT108" i="4"/>
  <c r="BK108" i="4"/>
  <c r="BT96" i="4"/>
  <c r="BK96" i="4"/>
  <c r="BT49" i="4"/>
  <c r="BK49" i="4"/>
  <c r="BT66" i="4"/>
  <c r="BK66" i="4"/>
  <c r="BT64" i="4"/>
  <c r="BK64" i="4"/>
  <c r="BT65" i="4"/>
  <c r="BK65" i="4"/>
  <c r="BT58" i="4"/>
  <c r="BK58" i="4"/>
  <c r="BT50" i="4"/>
  <c r="BK50" i="4"/>
  <c r="BT30" i="4"/>
  <c r="BK30" i="4"/>
  <c r="BT26" i="4"/>
  <c r="BK26" i="4"/>
  <c r="BT24" i="4"/>
  <c r="BK24" i="4"/>
  <c r="BT20" i="4"/>
  <c r="BK20" i="4"/>
  <c r="BT11" i="4"/>
  <c r="BK11" i="4"/>
  <c r="AA2" i="4"/>
  <c r="Z1" i="4"/>
  <c r="C17" i="17"/>
  <c r="F16" i="1"/>
  <c r="BK212" i="4" l="1"/>
  <c r="BK226" i="4" s="1"/>
  <c r="BT212" i="4"/>
  <c r="BT226" i="4" s="1"/>
  <c r="Y226" i="4"/>
  <c r="E28" i="6"/>
  <c r="BM16" i="4"/>
  <c r="BM9" i="4"/>
  <c r="BM17" i="4"/>
  <c r="BM35" i="4"/>
  <c r="BM36" i="4"/>
  <c r="BM31" i="4"/>
  <c r="BM40" i="4"/>
  <c r="BM47" i="4"/>
  <c r="BM55" i="4"/>
  <c r="BM48" i="4"/>
  <c r="BM56" i="4"/>
  <c r="BM51" i="4"/>
  <c r="BM59" i="4"/>
  <c r="BM70" i="4"/>
  <c r="BM63" i="4"/>
  <c r="BM71" i="4"/>
  <c r="BM80" i="4"/>
  <c r="BM92" i="4"/>
  <c r="BM90" i="4"/>
  <c r="BM93" i="4"/>
  <c r="BM101" i="4"/>
  <c r="BM105" i="4"/>
  <c r="BM107" i="4"/>
  <c r="BM89" i="4"/>
  <c r="BM118" i="4"/>
  <c r="BM111" i="4"/>
  <c r="BM119" i="4"/>
  <c r="BM114" i="4"/>
  <c r="BM136" i="4"/>
  <c r="BM144" i="4"/>
  <c r="BM140" i="4"/>
  <c r="BM129" i="4"/>
  <c r="BM149" i="4"/>
  <c r="BM172" i="4"/>
  <c r="BM153" i="4"/>
  <c r="BM161" i="4"/>
  <c r="BM151" i="4"/>
  <c r="BM159" i="4"/>
  <c r="BM206" i="4"/>
  <c r="BM181" i="4"/>
  <c r="BM184" i="4"/>
  <c r="BM192" i="4"/>
  <c r="BM198" i="4"/>
  <c r="BM190" i="4"/>
  <c r="BM196" i="4"/>
  <c r="BM180" i="4"/>
  <c r="BM187" i="4"/>
  <c r="Z212" i="4"/>
  <c r="Z214" i="4" s="1"/>
  <c r="BL5" i="4"/>
  <c r="BL212" i="4" s="1"/>
  <c r="BL226" i="4" s="1"/>
  <c r="C20" i="17"/>
  <c r="F17" i="1"/>
  <c r="AB2" i="4"/>
  <c r="AA1" i="4"/>
  <c r="D27" i="1"/>
  <c r="F27" i="1" s="1"/>
  <c r="D18" i="17"/>
  <c r="D17" i="17"/>
  <c r="BM128" i="4" l="1"/>
  <c r="BM81" i="4"/>
  <c r="BM79" i="4"/>
  <c r="BM69" i="4"/>
  <c r="BM26" i="4"/>
  <c r="BM33" i="4"/>
  <c r="BM19" i="4"/>
  <c r="BM193" i="4"/>
  <c r="BM178" i="4"/>
  <c r="BM162" i="4"/>
  <c r="BM145" i="4"/>
  <c r="BM155" i="4"/>
  <c r="BM157" i="4"/>
  <c r="BM131" i="4"/>
  <c r="BM116" i="4"/>
  <c r="BM110" i="4"/>
  <c r="BM117" i="4"/>
  <c r="BM96" i="4"/>
  <c r="BM103" i="4"/>
  <c r="BM84" i="4"/>
  <c r="BM62" i="4"/>
  <c r="BM61" i="4"/>
  <c r="BM50" i="4"/>
  <c r="BM25" i="4"/>
  <c r="BM39" i="4"/>
  <c r="BM15" i="4"/>
  <c r="BM11" i="4"/>
  <c r="BM183" i="4"/>
  <c r="BM165" i="4"/>
  <c r="BM83" i="4"/>
  <c r="BM57" i="4"/>
  <c r="BM29" i="4"/>
  <c r="BM23" i="4"/>
  <c r="E29" i="6"/>
  <c r="Z226" i="4"/>
  <c r="AA212" i="4"/>
  <c r="AA214" i="4" s="1"/>
  <c r="BM5" i="4"/>
  <c r="BM175" i="4"/>
  <c r="BM177" i="4"/>
  <c r="BM171" i="4"/>
  <c r="BM173" i="4"/>
  <c r="BM147" i="4"/>
  <c r="BM139" i="4"/>
  <c r="BM123" i="4"/>
  <c r="BM109" i="4"/>
  <c r="BM88" i="4"/>
  <c r="BM95" i="4"/>
  <c r="BM76" i="4"/>
  <c r="BM75" i="4"/>
  <c r="BM34" i="4"/>
  <c r="BM49" i="4"/>
  <c r="BM30" i="4"/>
  <c r="BM7" i="4"/>
  <c r="BM24" i="4"/>
  <c r="BM185" i="4"/>
  <c r="BM154" i="4"/>
  <c r="BM182" i="4"/>
  <c r="BM200" i="4"/>
  <c r="BM164" i="4"/>
  <c r="BM166" i="4"/>
  <c r="BM135" i="4"/>
  <c r="BM133" i="4"/>
  <c r="BM115" i="4"/>
  <c r="BM85" i="4"/>
  <c r="BM67" i="4"/>
  <c r="BM54" i="4"/>
  <c r="BM12" i="4"/>
  <c r="BM163" i="4"/>
  <c r="BM104" i="4"/>
  <c r="BM146" i="4"/>
  <c r="BM208" i="4"/>
  <c r="BM179" i="4"/>
  <c r="BM176" i="4"/>
  <c r="BM194" i="4"/>
  <c r="BM156" i="4"/>
  <c r="BM158" i="4"/>
  <c r="BM168" i="4"/>
  <c r="BM141" i="4"/>
  <c r="BM137" i="4"/>
  <c r="BM108" i="4"/>
  <c r="BM91" i="4"/>
  <c r="BM77" i="4"/>
  <c r="BM74" i="4"/>
  <c r="BM60" i="4"/>
  <c r="BM46" i="4"/>
  <c r="BM8" i="4"/>
  <c r="BM122" i="4"/>
  <c r="BM210" i="4"/>
  <c r="BM209" i="4"/>
  <c r="BM204" i="4"/>
  <c r="BM202" i="4"/>
  <c r="BM201" i="4"/>
  <c r="BM203" i="4"/>
  <c r="BM186" i="4"/>
  <c r="BM148" i="4"/>
  <c r="BM150" i="4"/>
  <c r="BM160" i="4"/>
  <c r="BM134" i="4"/>
  <c r="BM130" i="4"/>
  <c r="BM121" i="4"/>
  <c r="BM97" i="4"/>
  <c r="BM86" i="4"/>
  <c r="BM82" i="4"/>
  <c r="BM66" i="4"/>
  <c r="BM58" i="4"/>
  <c r="BM52" i="4"/>
  <c r="BM41" i="4"/>
  <c r="BM28" i="4"/>
  <c r="BM27" i="4"/>
  <c r="BM22" i="4"/>
  <c r="BM21" i="4"/>
  <c r="BM125" i="4"/>
  <c r="BN10" i="4"/>
  <c r="BN18" i="4"/>
  <c r="BN13" i="4"/>
  <c r="BN21" i="4"/>
  <c r="BN16" i="4"/>
  <c r="BN24" i="4"/>
  <c r="BN11" i="4"/>
  <c r="BN19" i="4"/>
  <c r="BN6" i="4"/>
  <c r="BN14" i="4"/>
  <c r="BN22" i="4"/>
  <c r="BN20" i="4"/>
  <c r="BN7" i="4"/>
  <c r="BN15" i="4"/>
  <c r="BN23" i="4"/>
  <c r="BN41" i="4"/>
  <c r="BN27" i="4"/>
  <c r="BN30" i="4"/>
  <c r="BN33" i="4"/>
  <c r="BN28" i="4"/>
  <c r="BN26" i="4"/>
  <c r="BN34" i="4"/>
  <c r="BN43" i="4"/>
  <c r="BN25" i="4"/>
  <c r="BN29" i="4"/>
  <c r="BN37" i="4"/>
  <c r="BN58" i="4"/>
  <c r="BN42" i="4"/>
  <c r="BN46" i="4"/>
  <c r="BN54" i="4"/>
  <c r="BN44" i="4"/>
  <c r="BN52" i="4"/>
  <c r="BN57" i="4"/>
  <c r="BN45" i="4"/>
  <c r="BN53" i="4"/>
  <c r="BN48" i="4"/>
  <c r="BN66" i="4"/>
  <c r="BN74" i="4"/>
  <c r="BN61" i="4"/>
  <c r="BN69" i="4"/>
  <c r="BN56" i="4"/>
  <c r="BN64" i="4"/>
  <c r="BN72" i="4"/>
  <c r="BN60" i="4"/>
  <c r="BN67" i="4"/>
  <c r="BN70" i="4"/>
  <c r="BN76" i="4"/>
  <c r="BN84" i="4"/>
  <c r="BN65" i="4"/>
  <c r="BN79" i="4"/>
  <c r="BN87" i="4"/>
  <c r="BN82" i="4"/>
  <c r="BN77" i="4"/>
  <c r="BN85" i="4"/>
  <c r="BN80" i="4"/>
  <c r="BN83" i="4"/>
  <c r="BN78" i="4"/>
  <c r="BN95" i="4"/>
  <c r="BN103" i="4"/>
  <c r="BN68" i="4"/>
  <c r="BN98" i="4"/>
  <c r="BN101" i="4"/>
  <c r="BN91" i="4"/>
  <c r="BN99" i="4"/>
  <c r="BN94" i="4"/>
  <c r="BN122" i="4"/>
  <c r="BN109" i="4"/>
  <c r="BN117" i="4"/>
  <c r="BN112" i="4"/>
  <c r="BN120" i="4"/>
  <c r="BN115" i="4"/>
  <c r="BN96" i="4"/>
  <c r="BN110" i="4"/>
  <c r="BN118" i="4"/>
  <c r="BN104" i="4"/>
  <c r="BN116" i="4"/>
  <c r="BN124" i="4"/>
  <c r="BN108" i="4"/>
  <c r="BN127" i="4"/>
  <c r="BN134" i="4"/>
  <c r="BN141" i="4"/>
  <c r="BN126" i="4"/>
  <c r="BN113" i="4"/>
  <c r="BN125" i="4"/>
  <c r="BN128" i="4"/>
  <c r="BN121" i="4"/>
  <c r="BN130" i="4"/>
  <c r="BN137" i="4"/>
  <c r="BN131" i="4"/>
  <c r="BN138" i="4"/>
  <c r="BN146" i="4"/>
  <c r="BN154" i="4"/>
  <c r="BN162" i="4"/>
  <c r="BN157" i="4"/>
  <c r="BN165" i="4"/>
  <c r="BN172" i="4"/>
  <c r="BN133" i="4"/>
  <c r="BN152" i="4"/>
  <c r="BN160" i="4"/>
  <c r="BN168" i="4"/>
  <c r="BN147" i="4"/>
  <c r="BN155" i="4"/>
  <c r="BN163" i="4"/>
  <c r="BN170" i="4"/>
  <c r="BN142" i="4"/>
  <c r="BN150" i="4"/>
  <c r="BN158" i="4"/>
  <c r="BN166" i="4"/>
  <c r="BN173" i="4"/>
  <c r="BN153" i="4"/>
  <c r="BN169" i="4"/>
  <c r="BN176" i="4"/>
  <c r="BN148" i="4"/>
  <c r="BN156" i="4"/>
  <c r="BN164" i="4"/>
  <c r="BN171" i="4"/>
  <c r="BN179" i="4"/>
  <c r="BN178" i="4"/>
  <c r="BN183" i="4"/>
  <c r="BN191" i="4"/>
  <c r="BN197" i="4"/>
  <c r="BN204" i="4"/>
  <c r="BN159" i="4"/>
  <c r="BN186" i="4"/>
  <c r="BN194" i="4"/>
  <c r="BN200" i="4"/>
  <c r="BN181" i="4"/>
  <c r="BN188" i="4"/>
  <c r="BN195" i="4"/>
  <c r="BN203" i="4"/>
  <c r="BN209" i="4"/>
  <c r="BN167" i="4"/>
  <c r="BN201" i="4"/>
  <c r="BN185" i="4"/>
  <c r="BN193" i="4"/>
  <c r="BN205" i="4"/>
  <c r="BN151" i="4"/>
  <c r="BN202" i="4"/>
  <c r="BN174" i="4"/>
  <c r="BN182" i="4"/>
  <c r="BN190" i="4"/>
  <c r="BN196" i="4"/>
  <c r="BN210" i="4"/>
  <c r="BM197" i="4"/>
  <c r="BM195" i="4"/>
  <c r="BM174" i="4"/>
  <c r="BM169" i="4"/>
  <c r="BM143" i="4"/>
  <c r="BM152" i="4"/>
  <c r="BM127" i="4"/>
  <c r="BM142" i="4"/>
  <c r="BM113" i="4"/>
  <c r="BM120" i="4"/>
  <c r="BM102" i="4"/>
  <c r="BM106" i="4"/>
  <c r="BM78" i="4"/>
  <c r="BM72" i="4"/>
  <c r="BM53" i="4"/>
  <c r="BM44" i="4"/>
  <c r="BM32" i="4"/>
  <c r="BM20" i="4"/>
  <c r="BM18" i="4"/>
  <c r="BM14" i="4"/>
  <c r="BM13" i="4"/>
  <c r="BM138" i="4"/>
  <c r="BM205" i="4"/>
  <c r="BM191" i="4"/>
  <c r="BM188" i="4"/>
  <c r="BM167" i="4"/>
  <c r="BM170" i="4"/>
  <c r="BM124" i="4"/>
  <c r="BM126" i="4"/>
  <c r="BM99" i="4"/>
  <c r="BM112" i="4"/>
  <c r="BM94" i="4"/>
  <c r="BM98" i="4"/>
  <c r="BM68" i="4"/>
  <c r="BM87" i="4"/>
  <c r="BM65" i="4"/>
  <c r="BM64" i="4"/>
  <c r="BM45" i="4"/>
  <c r="BM43" i="4"/>
  <c r="BM37" i="4"/>
  <c r="BM42" i="4"/>
  <c r="BM10" i="4"/>
  <c r="BM6" i="4"/>
  <c r="D20" i="17"/>
  <c r="D21" i="17"/>
  <c r="F18" i="1"/>
  <c r="C23" i="17"/>
  <c r="AC2" i="4"/>
  <c r="BN123" i="4" l="1"/>
  <c r="BN106" i="4"/>
  <c r="BN90" i="4"/>
  <c r="BN92" i="4"/>
  <c r="BN47" i="4"/>
  <c r="BN12" i="4"/>
  <c r="BN8" i="4"/>
  <c r="BM212" i="4"/>
  <c r="BM226" i="4" s="1"/>
  <c r="BN111" i="4"/>
  <c r="BN208" i="4"/>
  <c r="BN144" i="4"/>
  <c r="BN177" i="4"/>
  <c r="BN161" i="4"/>
  <c r="BN140" i="4"/>
  <c r="BN136" i="4"/>
  <c r="BN102" i="4"/>
  <c r="BN86" i="4"/>
  <c r="BN105" i="4"/>
  <c r="BN75" i="4"/>
  <c r="BN89" i="4"/>
  <c r="BN31" i="4"/>
  <c r="BN36" i="4"/>
  <c r="BN9" i="4"/>
  <c r="AA226" i="4"/>
  <c r="E30" i="6"/>
  <c r="BN184" i="4"/>
  <c r="BN93" i="4"/>
  <c r="BN55" i="4"/>
  <c r="BN97" i="4"/>
  <c r="BN81" i="4"/>
  <c r="BN51" i="4"/>
  <c r="BN206" i="4"/>
  <c r="BN129" i="4"/>
  <c r="AB212" i="4"/>
  <c r="AB214" i="4" s="1"/>
  <c r="BN5" i="4"/>
  <c r="BN187" i="4"/>
  <c r="BN145" i="4"/>
  <c r="BN107" i="4"/>
  <c r="BN71" i="4"/>
  <c r="BN32" i="4"/>
  <c r="BN114" i="4"/>
  <c r="BO7" i="4"/>
  <c r="BO15" i="4"/>
  <c r="BO8" i="4"/>
  <c r="BO16" i="4"/>
  <c r="BO9" i="4"/>
  <c r="BO12" i="4"/>
  <c r="BO25" i="4"/>
  <c r="BO29" i="4"/>
  <c r="BO41" i="4"/>
  <c r="BO35" i="4"/>
  <c r="BO33" i="4"/>
  <c r="BO22" i="4"/>
  <c r="BO26" i="4"/>
  <c r="BO34" i="4"/>
  <c r="BO46" i="4"/>
  <c r="BO54" i="4"/>
  <c r="BO49" i="4"/>
  <c r="BO47" i="4"/>
  <c r="BO55" i="4"/>
  <c r="BO50" i="4"/>
  <c r="BO63" i="4"/>
  <c r="BO71" i="4"/>
  <c r="BO66" i="4"/>
  <c r="BO59" i="4"/>
  <c r="BO61" i="4"/>
  <c r="BO69" i="4"/>
  <c r="BO36" i="4"/>
  <c r="BO60" i="4"/>
  <c r="BO67" i="4"/>
  <c r="BO76" i="4"/>
  <c r="BO84" i="4"/>
  <c r="BO82" i="4"/>
  <c r="BO77" i="4"/>
  <c r="BO85" i="4"/>
  <c r="BO74" i="4"/>
  <c r="BO88" i="4"/>
  <c r="BO97" i="4"/>
  <c r="BO92" i="4"/>
  <c r="BO96" i="4"/>
  <c r="BO107" i="4"/>
  <c r="BO108" i="4"/>
  <c r="BO114" i="4"/>
  <c r="BO122" i="4"/>
  <c r="BO109" i="4"/>
  <c r="BO125" i="4"/>
  <c r="BO123" i="4"/>
  <c r="BO113" i="4"/>
  <c r="BO121" i="4"/>
  <c r="BO131" i="4"/>
  <c r="BO139" i="4"/>
  <c r="BO93" i="4"/>
  <c r="BO128" i="4"/>
  <c r="BO142" i="4"/>
  <c r="BO133" i="4"/>
  <c r="BO140" i="4"/>
  <c r="BO83" i="4"/>
  <c r="BO90" i="4"/>
  <c r="BO129" i="4"/>
  <c r="BO144" i="4"/>
  <c r="BO167" i="4"/>
  <c r="BO146" i="4"/>
  <c r="BO154" i="4"/>
  <c r="BO172" i="4"/>
  <c r="BO160" i="4"/>
  <c r="BO168" i="4"/>
  <c r="BO155" i="4"/>
  <c r="BO137" i="4"/>
  <c r="BO150" i="4"/>
  <c r="BO166" i="4"/>
  <c r="BO173" i="4"/>
  <c r="BO145" i="4"/>
  <c r="BO161" i="4"/>
  <c r="BO169" i="4"/>
  <c r="BO176" i="4"/>
  <c r="BO180" i="4"/>
  <c r="BO187" i="4"/>
  <c r="BO208" i="4"/>
  <c r="BO177" i="4"/>
  <c r="BO178" i="4"/>
  <c r="BO183" i="4"/>
  <c r="BO156" i="4"/>
  <c r="BO186" i="4"/>
  <c r="BO200" i="4"/>
  <c r="BO206" i="4"/>
  <c r="BO181" i="4"/>
  <c r="BO184" i="4"/>
  <c r="BO192" i="4"/>
  <c r="BO198" i="4"/>
  <c r="BO175" i="4"/>
  <c r="BO190" i="4"/>
  <c r="BO196" i="4"/>
  <c r="BO210" i="4"/>
  <c r="BO201" i="4"/>
  <c r="BO179" i="4"/>
  <c r="AB1" i="4"/>
  <c r="F19" i="1" s="1"/>
  <c r="BN180" i="4"/>
  <c r="BN88" i="4"/>
  <c r="BN63" i="4"/>
  <c r="BN40" i="4"/>
  <c r="BN17" i="4"/>
  <c r="BN35" i="4"/>
  <c r="BN198" i="4"/>
  <c r="BN143" i="4"/>
  <c r="BN139" i="4"/>
  <c r="BN49" i="4"/>
  <c r="BN39" i="4"/>
  <c r="BN119" i="4"/>
  <c r="BN192" i="4"/>
  <c r="BN175" i="4"/>
  <c r="BN149" i="4"/>
  <c r="BN135" i="4"/>
  <c r="BN62" i="4"/>
  <c r="BN59" i="4"/>
  <c r="BN50" i="4"/>
  <c r="AC1" i="4"/>
  <c r="AD2" i="4"/>
  <c r="AE2" i="4" s="1"/>
  <c r="AF2" i="4" s="1"/>
  <c r="AG2" i="4" s="1"/>
  <c r="AH2" i="4" s="1"/>
  <c r="AI2" i="4" s="1"/>
  <c r="AJ2" i="4" s="1"/>
  <c r="AK2" i="4" s="1"/>
  <c r="AL2" i="4" s="1"/>
  <c r="AM2" i="4" s="1"/>
  <c r="D24" i="17"/>
  <c r="D23" i="17"/>
  <c r="AN2" i="4" l="1"/>
  <c r="AO2" i="4" s="1"/>
  <c r="AP2" i="4" s="1"/>
  <c r="AQ2" i="4" s="1"/>
  <c r="AM1" i="4"/>
  <c r="C120" i="17" s="1"/>
  <c r="C26" i="17"/>
  <c r="D26" i="17" s="1"/>
  <c r="CF86" i="4"/>
  <c r="CF106" i="4"/>
  <c r="CG209" i="4"/>
  <c r="BO101" i="4"/>
  <c r="CF101" i="4"/>
  <c r="CG101" i="4"/>
  <c r="BO78" i="4"/>
  <c r="CG78" i="4"/>
  <c r="BO185" i="4"/>
  <c r="BO130" i="4"/>
  <c r="BO135" i="4"/>
  <c r="BO141" i="4"/>
  <c r="CG141" i="4"/>
  <c r="BO91" i="4"/>
  <c r="BO95" i="4"/>
  <c r="BO80" i="4"/>
  <c r="CG80" i="4"/>
  <c r="CG73" i="4"/>
  <c r="BO68" i="4"/>
  <c r="BO57" i="4"/>
  <c r="CG57" i="4"/>
  <c r="BO30" i="4"/>
  <c r="CF97" i="4"/>
  <c r="CF131" i="4"/>
  <c r="BO79" i="4"/>
  <c r="BO194" i="4"/>
  <c r="CG194" i="4"/>
  <c r="CF194" i="4"/>
  <c r="BO170" i="4"/>
  <c r="BO174" i="4"/>
  <c r="BO134" i="4"/>
  <c r="BO104" i="4"/>
  <c r="CF104" i="4"/>
  <c r="BO65" i="4"/>
  <c r="CG65" i="4"/>
  <c r="BO43" i="4"/>
  <c r="CG43" i="4"/>
  <c r="BO40" i="4"/>
  <c r="BO20" i="4"/>
  <c r="CG32" i="4"/>
  <c r="CG160" i="4"/>
  <c r="CG144" i="4"/>
  <c r="BO126" i="4"/>
  <c r="CG126" i="4"/>
  <c r="BO164" i="4"/>
  <c r="CF164" i="4"/>
  <c r="BO153" i="4"/>
  <c r="CF153" i="4"/>
  <c r="BO163" i="4"/>
  <c r="BO165" i="4"/>
  <c r="BO127" i="4"/>
  <c r="CF127" i="4"/>
  <c r="BO62" i="4"/>
  <c r="BO31" i="4"/>
  <c r="BO27" i="4"/>
  <c r="BO21" i="4"/>
  <c r="CF21" i="4"/>
  <c r="CF79" i="4"/>
  <c r="CG66" i="4"/>
  <c r="CG9" i="4"/>
  <c r="CG123" i="4"/>
  <c r="BO193" i="4"/>
  <c r="BO39" i="4"/>
  <c r="CG8" i="4"/>
  <c r="CF43" i="4"/>
  <c r="CG29" i="4"/>
  <c r="CG40" i="4"/>
  <c r="CG47" i="4"/>
  <c r="CG55" i="4"/>
  <c r="CF68" i="4"/>
  <c r="CF61" i="4"/>
  <c r="CF83" i="4"/>
  <c r="CG86" i="4"/>
  <c r="CF76" i="4"/>
  <c r="CG107" i="4"/>
  <c r="CG95" i="4"/>
  <c r="CF87" i="4"/>
  <c r="CG104" i="4"/>
  <c r="CG119" i="4"/>
  <c r="CG110" i="4"/>
  <c r="CG127" i="4"/>
  <c r="CG140" i="4"/>
  <c r="CF148" i="4"/>
  <c r="CG146" i="4"/>
  <c r="CG162" i="4"/>
  <c r="CG165" i="4"/>
  <c r="CG152" i="4"/>
  <c r="CF163" i="4"/>
  <c r="CF193" i="4"/>
  <c r="CG187" i="4"/>
  <c r="CG153" i="4"/>
  <c r="CF191" i="4"/>
  <c r="CG176" i="4"/>
  <c r="CF203" i="4"/>
  <c r="CF29" i="4"/>
  <c r="CF63" i="4"/>
  <c r="CF154" i="4"/>
  <c r="BO203" i="4"/>
  <c r="BO202" i="4"/>
  <c r="CG202" i="4"/>
  <c r="BO157" i="4"/>
  <c r="BO159" i="4"/>
  <c r="CG159" i="4"/>
  <c r="CF159" i="4"/>
  <c r="BO138" i="4"/>
  <c r="CG138" i="4"/>
  <c r="CF138" i="4"/>
  <c r="BO115" i="4"/>
  <c r="BO119" i="4"/>
  <c r="BO89" i="4"/>
  <c r="CF89" i="4"/>
  <c r="BO105" i="4"/>
  <c r="BO6" i="4"/>
  <c r="CF6" i="4"/>
  <c r="CG6" i="4"/>
  <c r="BO17" i="4"/>
  <c r="CF17" i="4"/>
  <c r="BO13" i="4"/>
  <c r="CF13" i="4"/>
  <c r="CG13" i="4"/>
  <c r="CG154" i="4"/>
  <c r="CF66" i="4"/>
  <c r="CG206" i="4"/>
  <c r="CF155" i="4"/>
  <c r="CF7" i="4"/>
  <c r="CF60" i="4"/>
  <c r="CF26" i="4"/>
  <c r="CF84" i="4"/>
  <c r="CG52" i="4"/>
  <c r="CG89" i="4"/>
  <c r="CF146" i="4"/>
  <c r="CF123" i="4"/>
  <c r="BO152" i="4"/>
  <c r="CF152" i="4"/>
  <c r="BO99" i="4"/>
  <c r="CG99" i="4"/>
  <c r="CF99" i="4"/>
  <c r="BO53" i="4"/>
  <c r="CG53" i="4"/>
  <c r="CF53" i="4"/>
  <c r="BO24" i="4"/>
  <c r="CF24" i="4"/>
  <c r="CF179" i="4"/>
  <c r="CG88" i="4"/>
  <c r="AC212" i="4"/>
  <c r="AC214" i="4" s="1"/>
  <c r="BO5" i="4"/>
  <c r="CF5" i="4"/>
  <c r="BO182" i="4"/>
  <c r="CG182" i="4"/>
  <c r="BO195" i="4"/>
  <c r="CG195" i="4"/>
  <c r="CF195" i="4"/>
  <c r="BO204" i="4"/>
  <c r="CF204" i="4"/>
  <c r="BO147" i="4"/>
  <c r="BO149" i="4"/>
  <c r="BO151" i="4"/>
  <c r="CG151" i="4"/>
  <c r="CF151" i="4"/>
  <c r="BO110" i="4"/>
  <c r="BO120" i="4"/>
  <c r="CF120" i="4"/>
  <c r="CG120" i="4"/>
  <c r="BO111" i="4"/>
  <c r="BO87" i="4"/>
  <c r="BO70" i="4"/>
  <c r="BO72" i="4"/>
  <c r="CF72" i="4"/>
  <c r="CG72" i="4"/>
  <c r="BO28" i="4"/>
  <c r="CF28" i="4"/>
  <c r="CG28" i="4"/>
  <c r="BO51" i="4"/>
  <c r="BO42" i="4"/>
  <c r="CF42" i="4"/>
  <c r="CG42" i="4"/>
  <c r="BO18" i="4"/>
  <c r="CF18" i="4"/>
  <c r="CG18" i="4"/>
  <c r="CG178" i="4"/>
  <c r="CG15" i="4"/>
  <c r="CF200" i="4"/>
  <c r="CG179" i="4"/>
  <c r="CG122" i="4"/>
  <c r="CG131" i="4"/>
  <c r="CF183" i="4"/>
  <c r="CF173" i="4"/>
  <c r="CG204" i="4"/>
  <c r="CF161" i="4"/>
  <c r="CG12" i="4"/>
  <c r="BO117" i="4"/>
  <c r="CF117" i="4"/>
  <c r="AB226" i="4"/>
  <c r="E31" i="6"/>
  <c r="CF34" i="4"/>
  <c r="CF150" i="4"/>
  <c r="CF88" i="4"/>
  <c r="BO205" i="4"/>
  <c r="CF205" i="4"/>
  <c r="CG205" i="4"/>
  <c r="BO188" i="4"/>
  <c r="CF188" i="4"/>
  <c r="CG188" i="4"/>
  <c r="BO197" i="4"/>
  <c r="CF197" i="4"/>
  <c r="CG197" i="4"/>
  <c r="BO136" i="4"/>
  <c r="BO124" i="4"/>
  <c r="CF124" i="4"/>
  <c r="CG124" i="4"/>
  <c r="BO112" i="4"/>
  <c r="CG112" i="4"/>
  <c r="CF112" i="4"/>
  <c r="BO106" i="4"/>
  <c r="BO102" i="4"/>
  <c r="CF102" i="4"/>
  <c r="BO81" i="4"/>
  <c r="CF81" i="4"/>
  <c r="BO64" i="4"/>
  <c r="CG64" i="4"/>
  <c r="CF64" i="4"/>
  <c r="BO45" i="4"/>
  <c r="CF45" i="4"/>
  <c r="CG45" i="4"/>
  <c r="BO52" i="4"/>
  <c r="CF52" i="4"/>
  <c r="BO56" i="4"/>
  <c r="CG56" i="4"/>
  <c r="CF56" i="4"/>
  <c r="BO32" i="4"/>
  <c r="BO19" i="4"/>
  <c r="CF19" i="4"/>
  <c r="CG19" i="4"/>
  <c r="BO10" i="4"/>
  <c r="CF10" i="4"/>
  <c r="CF41" i="4"/>
  <c r="CG125" i="4"/>
  <c r="CF141" i="4"/>
  <c r="CG22" i="4"/>
  <c r="CG185" i="4"/>
  <c r="BO143" i="4"/>
  <c r="BO103" i="4"/>
  <c r="CG103" i="4"/>
  <c r="CF103" i="4"/>
  <c r="BO209" i="4"/>
  <c r="CF209" i="4"/>
  <c r="CG117" i="4"/>
  <c r="CF15" i="4"/>
  <c r="CG201" i="4"/>
  <c r="BO171" i="4"/>
  <c r="CG171" i="4"/>
  <c r="BO191" i="4"/>
  <c r="CG191" i="4"/>
  <c r="BO148" i="4"/>
  <c r="BO158" i="4"/>
  <c r="BO162" i="4"/>
  <c r="BO118" i="4"/>
  <c r="BO116" i="4"/>
  <c r="BO98" i="4"/>
  <c r="CG98" i="4"/>
  <c r="CF98" i="4"/>
  <c r="BO94" i="4"/>
  <c r="CG94" i="4"/>
  <c r="CF94" i="4"/>
  <c r="BO75" i="4"/>
  <c r="CF75" i="4"/>
  <c r="BO86" i="4"/>
  <c r="BO58" i="4"/>
  <c r="BO44" i="4"/>
  <c r="CG44" i="4"/>
  <c r="CF44" i="4"/>
  <c r="BO48" i="4"/>
  <c r="CF48" i="4"/>
  <c r="CG48" i="4"/>
  <c r="BO14" i="4"/>
  <c r="CG14" i="4"/>
  <c r="CF14" i="4"/>
  <c r="BO37" i="4"/>
  <c r="CG37" i="4"/>
  <c r="CF37" i="4"/>
  <c r="BO11" i="4"/>
  <c r="CF11" i="4"/>
  <c r="CG11" i="4"/>
  <c r="BO23" i="4"/>
  <c r="CG34" i="4"/>
  <c r="CF201" i="4"/>
  <c r="CF145" i="4"/>
  <c r="BN212" i="4"/>
  <c r="BN226" i="4" s="1"/>
  <c r="CF129" i="4"/>
  <c r="CG200" i="4"/>
  <c r="CG97" i="4"/>
  <c r="CF162" i="4"/>
  <c r="CG183" i="4"/>
  <c r="CF67" i="4"/>
  <c r="CG177" i="4"/>
  <c r="CF77" i="4"/>
  <c r="C29" i="17"/>
  <c r="F20" i="1"/>
  <c r="AD1" i="4"/>
  <c r="F139" i="1" l="1"/>
  <c r="D27" i="17"/>
  <c r="BR169" i="4"/>
  <c r="BP169" i="4"/>
  <c r="BQ169" i="4" s="1"/>
  <c r="CK169" i="4" s="1"/>
  <c r="CG169" i="4"/>
  <c r="CF169" i="4"/>
  <c r="BP174" i="4"/>
  <c r="BQ174" i="4" s="1"/>
  <c r="CK174" i="4" s="1"/>
  <c r="BR174" i="4"/>
  <c r="BP96" i="4"/>
  <c r="BQ96" i="4" s="1"/>
  <c r="CK96" i="4" s="1"/>
  <c r="BR96" i="4"/>
  <c r="BR59" i="4"/>
  <c r="BP59" i="4"/>
  <c r="BQ59" i="4" s="1"/>
  <c r="CK59" i="4" s="1"/>
  <c r="CF59" i="4"/>
  <c r="CG59" i="4"/>
  <c r="BP20" i="4"/>
  <c r="BQ20" i="4" s="1"/>
  <c r="CK20" i="4" s="1"/>
  <c r="BR20" i="4"/>
  <c r="CF20" i="4"/>
  <c r="CG148" i="4"/>
  <c r="BR190" i="4"/>
  <c r="BP190" i="4"/>
  <c r="BQ190" i="4" s="1"/>
  <c r="CK190" i="4" s="1"/>
  <c r="CF190" i="4"/>
  <c r="CG190" i="4"/>
  <c r="BR128" i="4"/>
  <c r="BP128" i="4"/>
  <c r="BQ128" i="4" s="1"/>
  <c r="CK128" i="4" s="1"/>
  <c r="CG128" i="4"/>
  <c r="CF128" i="4"/>
  <c r="BR111" i="4"/>
  <c r="BP111" i="4"/>
  <c r="BQ111" i="4" s="1"/>
  <c r="CK111" i="4" s="1"/>
  <c r="CG111" i="4"/>
  <c r="BR105" i="4"/>
  <c r="BP105" i="4"/>
  <c r="BQ105" i="4" s="1"/>
  <c r="CK105" i="4" s="1"/>
  <c r="BR70" i="4"/>
  <c r="BP70" i="4"/>
  <c r="BQ70" i="4" s="1"/>
  <c r="CK70" i="4" s="1"/>
  <c r="CG70" i="4"/>
  <c r="CF70" i="4"/>
  <c r="BR50" i="4"/>
  <c r="BP50" i="4"/>
  <c r="BQ50" i="4" s="1"/>
  <c r="CK50" i="4" s="1"/>
  <c r="CG50" i="4"/>
  <c r="CF50" i="4"/>
  <c r="BR51" i="4"/>
  <c r="BP51" i="4"/>
  <c r="BQ51" i="4" s="1"/>
  <c r="CK51" i="4" s="1"/>
  <c r="CG51" i="4"/>
  <c r="BR41" i="4"/>
  <c r="BP41" i="4"/>
  <c r="BQ41" i="4" s="1"/>
  <c r="CK41" i="4" s="1"/>
  <c r="CG41" i="4"/>
  <c r="BR21" i="4"/>
  <c r="BP21" i="4"/>
  <c r="BQ21" i="4" s="1"/>
  <c r="CK21" i="4" s="1"/>
  <c r="CG21" i="4"/>
  <c r="CG208" i="4"/>
  <c r="CG25" i="4"/>
  <c r="BR210" i="4"/>
  <c r="BP210" i="4"/>
  <c r="BQ210" i="4" s="1"/>
  <c r="CK210" i="4" s="1"/>
  <c r="CF210" i="4"/>
  <c r="BR182" i="4"/>
  <c r="BP182" i="4"/>
  <c r="BQ182" i="4" s="1"/>
  <c r="CK182" i="4" s="1"/>
  <c r="CF182" i="4"/>
  <c r="BR195" i="4"/>
  <c r="BP195" i="4"/>
  <c r="BQ195" i="4" s="1"/>
  <c r="CK195" i="4" s="1"/>
  <c r="BR204" i="4"/>
  <c r="BP204" i="4"/>
  <c r="BQ204" i="4" s="1"/>
  <c r="CK204" i="4" s="1"/>
  <c r="BP205" i="4"/>
  <c r="BQ205" i="4" s="1"/>
  <c r="CK205" i="4" s="1"/>
  <c r="BR205" i="4"/>
  <c r="BR150" i="4"/>
  <c r="BP150" i="4"/>
  <c r="BQ150" i="4" s="1"/>
  <c r="CK150" i="4" s="1"/>
  <c r="CG150" i="4"/>
  <c r="BR168" i="4"/>
  <c r="BP168" i="4"/>
  <c r="BQ168" i="4" s="1"/>
  <c r="CK168" i="4" s="1"/>
  <c r="CF168" i="4"/>
  <c r="CG168" i="4"/>
  <c r="BR115" i="4"/>
  <c r="BP115" i="4"/>
  <c r="BQ115" i="4" s="1"/>
  <c r="CK115" i="4" s="1"/>
  <c r="CF115" i="4"/>
  <c r="CG115" i="4"/>
  <c r="BP159" i="4"/>
  <c r="BQ159" i="4" s="1"/>
  <c r="CK159" i="4" s="1"/>
  <c r="BR159" i="4"/>
  <c r="BR133" i="4"/>
  <c r="BP133" i="4"/>
  <c r="BQ133" i="4" s="1"/>
  <c r="CK133" i="4" s="1"/>
  <c r="CF133" i="4"/>
  <c r="CG133" i="4"/>
  <c r="BR125" i="4"/>
  <c r="BP125" i="4"/>
  <c r="BQ125" i="4" s="1"/>
  <c r="CK125" i="4" s="1"/>
  <c r="BP129" i="4"/>
  <c r="BQ129" i="4" s="1"/>
  <c r="CK129" i="4" s="1"/>
  <c r="BR129" i="4"/>
  <c r="CG129" i="4"/>
  <c r="BP120" i="4"/>
  <c r="BQ120" i="4" s="1"/>
  <c r="CK120" i="4" s="1"/>
  <c r="BR120" i="4"/>
  <c r="BR108" i="4"/>
  <c r="BP108" i="4"/>
  <c r="BQ108" i="4" s="1"/>
  <c r="CK108" i="4" s="1"/>
  <c r="CF108" i="4"/>
  <c r="BR101" i="4"/>
  <c r="BP101" i="4"/>
  <c r="BQ101" i="4" s="1"/>
  <c r="CK101" i="4" s="1"/>
  <c r="BR97" i="4"/>
  <c r="BP97" i="4"/>
  <c r="BQ97" i="4" s="1"/>
  <c r="CK97" i="4" s="1"/>
  <c r="BP90" i="4"/>
  <c r="BQ90" i="4" s="1"/>
  <c r="CK90" i="4" s="1"/>
  <c r="BR90" i="4"/>
  <c r="CG90" i="4"/>
  <c r="CF90" i="4"/>
  <c r="BR57" i="4"/>
  <c r="BP57" i="4"/>
  <c r="BQ57" i="4" s="1"/>
  <c r="CK57" i="4" s="1"/>
  <c r="CF57" i="4"/>
  <c r="BR65" i="4"/>
  <c r="BP65" i="4"/>
  <c r="BQ65" i="4" s="1"/>
  <c r="CK65" i="4" s="1"/>
  <c r="BR74" i="4"/>
  <c r="BP74" i="4"/>
  <c r="BQ74" i="4" s="1"/>
  <c r="CK74" i="4" s="1"/>
  <c r="CG74" i="4"/>
  <c r="CF74" i="4"/>
  <c r="BR52" i="4"/>
  <c r="BP52" i="4"/>
  <c r="BQ52" i="4" s="1"/>
  <c r="CK52" i="4" s="1"/>
  <c r="BR42" i="4"/>
  <c r="BP42" i="4"/>
  <c r="BQ42" i="4" s="1"/>
  <c r="CK42" i="4" s="1"/>
  <c r="BP28" i="4"/>
  <c r="BQ28" i="4" s="1"/>
  <c r="CK28" i="4" s="1"/>
  <c r="BR28" i="4"/>
  <c r="BR32" i="4"/>
  <c r="BP32" i="4"/>
  <c r="BQ32" i="4" s="1"/>
  <c r="CK32" i="4" s="1"/>
  <c r="BP9" i="4"/>
  <c r="BQ9" i="4" s="1"/>
  <c r="CK9" i="4" s="1"/>
  <c r="BR9" i="4"/>
  <c r="BR13" i="4"/>
  <c r="BP13" i="4"/>
  <c r="BQ13" i="4" s="1"/>
  <c r="CK13" i="4" s="1"/>
  <c r="CF126" i="4"/>
  <c r="CF140" i="4"/>
  <c r="CG108" i="4"/>
  <c r="CF174" i="4"/>
  <c r="CF125" i="4"/>
  <c r="BR187" i="4"/>
  <c r="BP187" i="4"/>
  <c r="BQ187" i="4" s="1"/>
  <c r="CK187" i="4" s="1"/>
  <c r="CF187" i="4"/>
  <c r="BR136" i="4"/>
  <c r="BP136" i="4"/>
  <c r="BQ136" i="4" s="1"/>
  <c r="CK136" i="4" s="1"/>
  <c r="BR85" i="4"/>
  <c r="BP85" i="4"/>
  <c r="BQ85" i="4" s="1"/>
  <c r="CK85" i="4" s="1"/>
  <c r="CG85" i="4"/>
  <c r="CF85" i="4"/>
  <c r="BR31" i="4"/>
  <c r="BP31" i="4"/>
  <c r="BQ31" i="4" s="1"/>
  <c r="CK31" i="4" s="1"/>
  <c r="CF31" i="4"/>
  <c r="BR203" i="4"/>
  <c r="BP203" i="4"/>
  <c r="BQ203" i="4" s="1"/>
  <c r="CK203" i="4" s="1"/>
  <c r="BP167" i="4"/>
  <c r="BQ167" i="4" s="1"/>
  <c r="CK167" i="4" s="1"/>
  <c r="BR167" i="4"/>
  <c r="CF167" i="4"/>
  <c r="CG167" i="4"/>
  <c r="BR87" i="4"/>
  <c r="BP87" i="4"/>
  <c r="BQ87" i="4" s="1"/>
  <c r="CK87" i="4" s="1"/>
  <c r="BP77" i="4"/>
  <c r="BQ77" i="4" s="1"/>
  <c r="CK77" i="4" s="1"/>
  <c r="BR77" i="4"/>
  <c r="CG77" i="4"/>
  <c r="BR73" i="4"/>
  <c r="BP73" i="4"/>
  <c r="BQ73" i="4" s="1"/>
  <c r="CK73" i="4" s="1"/>
  <c r="BR47" i="4"/>
  <c r="BP47" i="4"/>
  <c r="BQ47" i="4" s="1"/>
  <c r="CK47" i="4" s="1"/>
  <c r="CF47" i="4"/>
  <c r="BP36" i="4"/>
  <c r="BQ36" i="4" s="1"/>
  <c r="CK36" i="4" s="1"/>
  <c r="BR36" i="4"/>
  <c r="BR17" i="4"/>
  <c r="BP17" i="4"/>
  <c r="BQ17" i="4" s="1"/>
  <c r="CK17" i="4" s="1"/>
  <c r="CG17" i="4"/>
  <c r="BP12" i="4"/>
  <c r="BQ12" i="4" s="1"/>
  <c r="CK12" i="4" s="1"/>
  <c r="BR12" i="4"/>
  <c r="BU9" i="4"/>
  <c r="BU17" i="4"/>
  <c r="BU25" i="4"/>
  <c r="BU12" i="4"/>
  <c r="BU20" i="4"/>
  <c r="BU7" i="4"/>
  <c r="BU15" i="4"/>
  <c r="BU23" i="4"/>
  <c r="BU10" i="4"/>
  <c r="BU18" i="4"/>
  <c r="BU13" i="4"/>
  <c r="BU21" i="4"/>
  <c r="BU11" i="4"/>
  <c r="BU19" i="4"/>
  <c r="BU6" i="4"/>
  <c r="BU14" i="4"/>
  <c r="BU22" i="4"/>
  <c r="BU24" i="4"/>
  <c r="BU31" i="4"/>
  <c r="BU40" i="4"/>
  <c r="BU26" i="4"/>
  <c r="BU34" i="4"/>
  <c r="BU29" i="4"/>
  <c r="BU37" i="4"/>
  <c r="BU32" i="4"/>
  <c r="BU41" i="4"/>
  <c r="BU8" i="4"/>
  <c r="BU27" i="4"/>
  <c r="BU35" i="4"/>
  <c r="BU16" i="4"/>
  <c r="BU33" i="4"/>
  <c r="BU42" i="4"/>
  <c r="BU28" i="4"/>
  <c r="BU36" i="4"/>
  <c r="BU50" i="4"/>
  <c r="BU57" i="4"/>
  <c r="BU39" i="4"/>
  <c r="BU45" i="4"/>
  <c r="BU53" i="4"/>
  <c r="BU48" i="4"/>
  <c r="BU56" i="4"/>
  <c r="BU51" i="4"/>
  <c r="BU43" i="4"/>
  <c r="BU46" i="4"/>
  <c r="BU54" i="4"/>
  <c r="BU49" i="4"/>
  <c r="BU44" i="4"/>
  <c r="BU52" i="4"/>
  <c r="BU59" i="4"/>
  <c r="BU65" i="4"/>
  <c r="BU73" i="4"/>
  <c r="BU30" i="4"/>
  <c r="BU68" i="4"/>
  <c r="BU63" i="4"/>
  <c r="BU71" i="4"/>
  <c r="BU47" i="4"/>
  <c r="BU66" i="4"/>
  <c r="BU58" i="4"/>
  <c r="BU61" i="4"/>
  <c r="BU69" i="4"/>
  <c r="BU62" i="4"/>
  <c r="BU70" i="4"/>
  <c r="BU80" i="4"/>
  <c r="BU88" i="4"/>
  <c r="BU64" i="4"/>
  <c r="BU83" i="4"/>
  <c r="BU60" i="4"/>
  <c r="BU78" i="4"/>
  <c r="BU86" i="4"/>
  <c r="BU81" i="4"/>
  <c r="BU76" i="4"/>
  <c r="BU84" i="4"/>
  <c r="BU72" i="4"/>
  <c r="BU79" i="4"/>
  <c r="BU87" i="4"/>
  <c r="BU55" i="4"/>
  <c r="BU67" i="4"/>
  <c r="BU75" i="4"/>
  <c r="BU82" i="4"/>
  <c r="BU96" i="4"/>
  <c r="BU104" i="4"/>
  <c r="BU74" i="4"/>
  <c r="BU91" i="4"/>
  <c r="BU99" i="4"/>
  <c r="BU94" i="4"/>
  <c r="BU102" i="4"/>
  <c r="BU97" i="4"/>
  <c r="BU92" i="4"/>
  <c r="BU100" i="4"/>
  <c r="BU90" i="4"/>
  <c r="BU98" i="4"/>
  <c r="BU106" i="4"/>
  <c r="BU85" i="4"/>
  <c r="BU89" i="4"/>
  <c r="BU93" i="4"/>
  <c r="BU101" i="4"/>
  <c r="BU113" i="4"/>
  <c r="BU121" i="4"/>
  <c r="BU103" i="4"/>
  <c r="BU107" i="4"/>
  <c r="BU116" i="4"/>
  <c r="BU124" i="4"/>
  <c r="BU108" i="4"/>
  <c r="BU111" i="4"/>
  <c r="BU119" i="4"/>
  <c r="BU77" i="4"/>
  <c r="BU114" i="4"/>
  <c r="BU122" i="4"/>
  <c r="BU109" i="4"/>
  <c r="BU117" i="4"/>
  <c r="BU105" i="4"/>
  <c r="BU115" i="4"/>
  <c r="BU123" i="4"/>
  <c r="BU95" i="4"/>
  <c r="BU110" i="4"/>
  <c r="BU118" i="4"/>
  <c r="BU133" i="4"/>
  <c r="BU140" i="4"/>
  <c r="BU129" i="4"/>
  <c r="BU135" i="4"/>
  <c r="BU131" i="4"/>
  <c r="BU138" i="4"/>
  <c r="BU126" i="4"/>
  <c r="BU127" i="4"/>
  <c r="BU134" i="4"/>
  <c r="BU125" i="4"/>
  <c r="BU136" i="4"/>
  <c r="BU128" i="4"/>
  <c r="BU142" i="4"/>
  <c r="BU120" i="4"/>
  <c r="BU130" i="4"/>
  <c r="BU137" i="4"/>
  <c r="BU145" i="4"/>
  <c r="BU153" i="4"/>
  <c r="BU161" i="4"/>
  <c r="BU169" i="4"/>
  <c r="BU148" i="4"/>
  <c r="BU156" i="4"/>
  <c r="BU164" i="4"/>
  <c r="BU171" i="4"/>
  <c r="BU144" i="4"/>
  <c r="BU151" i="4"/>
  <c r="BU159" i="4"/>
  <c r="BU167" i="4"/>
  <c r="BU174" i="4"/>
  <c r="BU141" i="4"/>
  <c r="BU146" i="4"/>
  <c r="BU154" i="4"/>
  <c r="BU162" i="4"/>
  <c r="BU143" i="4"/>
  <c r="BU149" i="4"/>
  <c r="BU157" i="4"/>
  <c r="BU165" i="4"/>
  <c r="BU172" i="4"/>
  <c r="BU152" i="4"/>
  <c r="BU160" i="4"/>
  <c r="BU168" i="4"/>
  <c r="BU175" i="4"/>
  <c r="BU112" i="4"/>
  <c r="BU147" i="4"/>
  <c r="BU155" i="4"/>
  <c r="BU163" i="4"/>
  <c r="BU170" i="4"/>
  <c r="BU178" i="4"/>
  <c r="BU139" i="4"/>
  <c r="BU173" i="4"/>
  <c r="BU182" i="4"/>
  <c r="BU190" i="4"/>
  <c r="BU196" i="4"/>
  <c r="BU185" i="4"/>
  <c r="BU193" i="4"/>
  <c r="BU199" i="4"/>
  <c r="BU205" i="4"/>
  <c r="BU150" i="4"/>
  <c r="BU177" i="4"/>
  <c r="BU180" i="4"/>
  <c r="BU187" i="4"/>
  <c r="BU202" i="4"/>
  <c r="BU208" i="4"/>
  <c r="BU183" i="4"/>
  <c r="BU191" i="4"/>
  <c r="BU197" i="4"/>
  <c r="BU204" i="4"/>
  <c r="BU158" i="4"/>
  <c r="BU176" i="4"/>
  <c r="BU186" i="4"/>
  <c r="BU194" i="4"/>
  <c r="BU200" i="4"/>
  <c r="BU166" i="4"/>
  <c r="BU184" i="4"/>
  <c r="BU192" i="4"/>
  <c r="BU198" i="4"/>
  <c r="BU179" i="4"/>
  <c r="BU201" i="4"/>
  <c r="BU188" i="4"/>
  <c r="BU195" i="4"/>
  <c r="BU206" i="4"/>
  <c r="BU209" i="4"/>
  <c r="BU210" i="4"/>
  <c r="BU203" i="4"/>
  <c r="BU181" i="4"/>
  <c r="CF12" i="4"/>
  <c r="CG193" i="4"/>
  <c r="CF136" i="4"/>
  <c r="CG203" i="4"/>
  <c r="BR198" i="4"/>
  <c r="BP198" i="4"/>
  <c r="BQ198" i="4" s="1"/>
  <c r="CK198" i="4" s="1"/>
  <c r="CF198" i="4"/>
  <c r="BR175" i="4"/>
  <c r="BP175" i="4"/>
  <c r="BQ175" i="4" s="1"/>
  <c r="CK175" i="4" s="1"/>
  <c r="CF175" i="4"/>
  <c r="CG175" i="4"/>
  <c r="BP188" i="4"/>
  <c r="BQ188" i="4" s="1"/>
  <c r="CK188" i="4" s="1"/>
  <c r="BR188" i="4"/>
  <c r="BR197" i="4"/>
  <c r="BP197" i="4"/>
  <c r="BQ197" i="4" s="1"/>
  <c r="CK197" i="4" s="1"/>
  <c r="BR199" i="4"/>
  <c r="BP199" i="4"/>
  <c r="BQ199" i="4" s="1"/>
  <c r="CK199" i="4" s="1"/>
  <c r="CF199" i="4"/>
  <c r="CG199" i="4"/>
  <c r="BR178" i="4"/>
  <c r="BP178" i="4"/>
  <c r="BQ178" i="4" s="1"/>
  <c r="CK178" i="4" s="1"/>
  <c r="CF178" i="4"/>
  <c r="BR160" i="4"/>
  <c r="BP160" i="4"/>
  <c r="BQ160" i="4" s="1"/>
  <c r="CK160" i="4" s="1"/>
  <c r="CF160" i="4"/>
  <c r="BR177" i="4"/>
  <c r="BP177" i="4"/>
  <c r="BQ177" i="4" s="1"/>
  <c r="CK177" i="4" s="1"/>
  <c r="CF177" i="4"/>
  <c r="BP151" i="4"/>
  <c r="BQ151" i="4" s="1"/>
  <c r="CK151" i="4" s="1"/>
  <c r="BR151" i="4"/>
  <c r="BR123" i="4"/>
  <c r="BP123" i="4"/>
  <c r="BQ123" i="4" s="1"/>
  <c r="CK123" i="4" s="1"/>
  <c r="BR141" i="4"/>
  <c r="BP141" i="4"/>
  <c r="BQ141" i="4" s="1"/>
  <c r="CK141" i="4" s="1"/>
  <c r="BR121" i="4"/>
  <c r="BP121" i="4"/>
  <c r="BQ121" i="4" s="1"/>
  <c r="CK121" i="4" s="1"/>
  <c r="CG121" i="4"/>
  <c r="CF121" i="4"/>
  <c r="BP112" i="4"/>
  <c r="BQ112" i="4" s="1"/>
  <c r="CK112" i="4" s="1"/>
  <c r="BR112" i="4"/>
  <c r="BP106" i="4"/>
  <c r="BQ106" i="4" s="1"/>
  <c r="CK106" i="4" s="1"/>
  <c r="BR106" i="4"/>
  <c r="CG106" i="4"/>
  <c r="BR93" i="4"/>
  <c r="BP93" i="4"/>
  <c r="BQ93" i="4" s="1"/>
  <c r="CK93" i="4" s="1"/>
  <c r="CF93" i="4"/>
  <c r="CG93" i="4"/>
  <c r="BR102" i="4"/>
  <c r="BP102" i="4"/>
  <c r="BQ102" i="4" s="1"/>
  <c r="CK102" i="4" s="1"/>
  <c r="CG102" i="4"/>
  <c r="BR82" i="4"/>
  <c r="BP82" i="4"/>
  <c r="BQ82" i="4" s="1"/>
  <c r="CK82" i="4" s="1"/>
  <c r="CG82" i="4"/>
  <c r="CF82" i="4"/>
  <c r="BR89" i="4"/>
  <c r="BP89" i="4"/>
  <c r="BQ89" i="4" s="1"/>
  <c r="CK89" i="4" s="1"/>
  <c r="BR33" i="4"/>
  <c r="BP33" i="4"/>
  <c r="BQ33" i="4" s="1"/>
  <c r="CK33" i="4" s="1"/>
  <c r="CF33" i="4"/>
  <c r="BR66" i="4"/>
  <c r="BP66" i="4"/>
  <c r="BQ66" i="4" s="1"/>
  <c r="CK66" i="4" s="1"/>
  <c r="BR44" i="4"/>
  <c r="BP44" i="4"/>
  <c r="BQ44" i="4" s="1"/>
  <c r="CK44" i="4" s="1"/>
  <c r="BP56" i="4"/>
  <c r="BQ56" i="4" s="1"/>
  <c r="CK56" i="4" s="1"/>
  <c r="BR56" i="4"/>
  <c r="BR19" i="4"/>
  <c r="BP19" i="4"/>
  <c r="BQ19" i="4" s="1"/>
  <c r="CK19" i="4" s="1"/>
  <c r="BR37" i="4"/>
  <c r="BP37" i="4"/>
  <c r="BQ37" i="4" s="1"/>
  <c r="CK37" i="4" s="1"/>
  <c r="BP22" i="4"/>
  <c r="BQ22" i="4" s="1"/>
  <c r="CK22" i="4" s="1"/>
  <c r="BR22" i="4"/>
  <c r="CF22" i="4"/>
  <c r="BR18" i="4"/>
  <c r="BP18" i="4"/>
  <c r="BQ18" i="4" s="1"/>
  <c r="CK18" i="4" s="1"/>
  <c r="CF8" i="4"/>
  <c r="CG68" i="4"/>
  <c r="BR196" i="4"/>
  <c r="BP196" i="4"/>
  <c r="BQ196" i="4" s="1"/>
  <c r="CK196" i="4" s="1"/>
  <c r="CF196" i="4"/>
  <c r="CG196" i="4"/>
  <c r="BR149" i="4"/>
  <c r="BP149" i="4"/>
  <c r="BQ149" i="4" s="1"/>
  <c r="CK149" i="4" s="1"/>
  <c r="CG149" i="4"/>
  <c r="BR119" i="4"/>
  <c r="BP119" i="4"/>
  <c r="BQ119" i="4" s="1"/>
  <c r="CK119" i="4" s="1"/>
  <c r="CF119" i="4"/>
  <c r="BR58" i="4"/>
  <c r="BP58" i="4"/>
  <c r="BQ58" i="4" s="1"/>
  <c r="CK58" i="4" s="1"/>
  <c r="CG58" i="4"/>
  <c r="CF58" i="4"/>
  <c r="BR110" i="4"/>
  <c r="BP110" i="4"/>
  <c r="BQ110" i="4" s="1"/>
  <c r="CK110" i="4" s="1"/>
  <c r="CF110" i="4"/>
  <c r="BR181" i="4"/>
  <c r="BP181" i="4"/>
  <c r="BQ181" i="4" s="1"/>
  <c r="CK181" i="4" s="1"/>
  <c r="CG181" i="4"/>
  <c r="CF181" i="4"/>
  <c r="BR170" i="4"/>
  <c r="BP170" i="4"/>
  <c r="BQ170" i="4" s="1"/>
  <c r="CK170" i="4" s="1"/>
  <c r="BR137" i="4"/>
  <c r="BP137" i="4"/>
  <c r="BQ137" i="4" s="1"/>
  <c r="CK137" i="4" s="1"/>
  <c r="CG137" i="4"/>
  <c r="CF137" i="4"/>
  <c r="BR134" i="4"/>
  <c r="BP134" i="4"/>
  <c r="BQ134" i="4" s="1"/>
  <c r="CK134" i="4" s="1"/>
  <c r="CF134" i="4"/>
  <c r="BR113" i="4"/>
  <c r="BP113" i="4"/>
  <c r="BQ113" i="4" s="1"/>
  <c r="CK113" i="4" s="1"/>
  <c r="CG113" i="4"/>
  <c r="CF113" i="4"/>
  <c r="BR117" i="4"/>
  <c r="BP117" i="4"/>
  <c r="BQ117" i="4" s="1"/>
  <c r="CK117" i="4" s="1"/>
  <c r="BR124" i="4"/>
  <c r="BP124" i="4"/>
  <c r="BQ124" i="4" s="1"/>
  <c r="CK124" i="4" s="1"/>
  <c r="BR62" i="4"/>
  <c r="BP62" i="4"/>
  <c r="BQ62" i="4" s="1"/>
  <c r="CK62" i="4" s="1"/>
  <c r="CF62" i="4"/>
  <c r="BR94" i="4"/>
  <c r="BP94" i="4"/>
  <c r="BQ94" i="4" s="1"/>
  <c r="CK94" i="4" s="1"/>
  <c r="BR75" i="4"/>
  <c r="BP75" i="4"/>
  <c r="BQ75" i="4" s="1"/>
  <c r="CK75" i="4" s="1"/>
  <c r="BR81" i="4"/>
  <c r="BP81" i="4"/>
  <c r="BQ81" i="4" s="1"/>
  <c r="CK81" i="4" s="1"/>
  <c r="BR72" i="4"/>
  <c r="BP72" i="4"/>
  <c r="BQ72" i="4" s="1"/>
  <c r="CK72" i="4" s="1"/>
  <c r="BP71" i="4"/>
  <c r="BQ71" i="4" s="1"/>
  <c r="CK71" i="4" s="1"/>
  <c r="BR71" i="4"/>
  <c r="CG71" i="4"/>
  <c r="CF71" i="4"/>
  <c r="BP48" i="4"/>
  <c r="BQ48" i="4" s="1"/>
  <c r="CK48" i="4" s="1"/>
  <c r="BR48" i="4"/>
  <c r="BP39" i="4"/>
  <c r="BQ39" i="4" s="1"/>
  <c r="CK39" i="4" s="1"/>
  <c r="BR39" i="4"/>
  <c r="CG39" i="4"/>
  <c r="BR29" i="4"/>
  <c r="BP29" i="4"/>
  <c r="BQ29" i="4" s="1"/>
  <c r="CK29" i="4" s="1"/>
  <c r="BP14" i="4"/>
  <c r="BQ14" i="4" s="1"/>
  <c r="CK14" i="4" s="1"/>
  <c r="BR14" i="4"/>
  <c r="BR10" i="4"/>
  <c r="BP10" i="4"/>
  <c r="BQ10" i="4" s="1"/>
  <c r="CK10" i="4" s="1"/>
  <c r="CG10" i="4"/>
  <c r="CF39" i="4"/>
  <c r="CG31" i="4"/>
  <c r="CG20" i="4"/>
  <c r="CG81" i="4"/>
  <c r="BR166" i="4"/>
  <c r="BP166" i="4"/>
  <c r="BQ166" i="4" s="1"/>
  <c r="CK166" i="4" s="1"/>
  <c r="CF166" i="4"/>
  <c r="BP143" i="4"/>
  <c r="BQ143" i="4" s="1"/>
  <c r="CK143" i="4" s="1"/>
  <c r="BR143" i="4"/>
  <c r="BR83" i="4"/>
  <c r="BP83" i="4"/>
  <c r="BQ83" i="4" s="1"/>
  <c r="CK83" i="4" s="1"/>
  <c r="CG83" i="4"/>
  <c r="BR25" i="4"/>
  <c r="BP25" i="4"/>
  <c r="BQ25" i="4" s="1"/>
  <c r="CK25" i="4" s="1"/>
  <c r="CF25" i="4"/>
  <c r="CG96" i="4"/>
  <c r="BR158" i="4"/>
  <c r="BP158" i="4"/>
  <c r="BQ158" i="4" s="1"/>
  <c r="CK158" i="4" s="1"/>
  <c r="BP135" i="4"/>
  <c r="BQ135" i="4" s="1"/>
  <c r="CK135" i="4" s="1"/>
  <c r="BR135" i="4"/>
  <c r="CF135" i="4"/>
  <c r="CG135" i="4"/>
  <c r="BP192" i="4"/>
  <c r="BQ192" i="4" s="1"/>
  <c r="CK192" i="4" s="1"/>
  <c r="BR192" i="4"/>
  <c r="CG192" i="4"/>
  <c r="CF192" i="4"/>
  <c r="BR191" i="4"/>
  <c r="BP191" i="4"/>
  <c r="BQ191" i="4" s="1"/>
  <c r="CK191" i="4" s="1"/>
  <c r="BR152" i="4"/>
  <c r="BP152" i="4"/>
  <c r="BQ152" i="4" s="1"/>
  <c r="CK152" i="4" s="1"/>
  <c r="BR144" i="4"/>
  <c r="BP144" i="4"/>
  <c r="BQ144" i="4" s="1"/>
  <c r="CK144" i="4" s="1"/>
  <c r="CF144" i="4"/>
  <c r="CG166" i="4"/>
  <c r="CF36" i="4"/>
  <c r="AD212" i="4"/>
  <c r="AD214" i="4" s="1"/>
  <c r="BR5" i="4"/>
  <c r="BP5" i="4"/>
  <c r="BQ5" i="4" s="1"/>
  <c r="CK5" i="4" s="1"/>
  <c r="CG5" i="4"/>
  <c r="BR209" i="4"/>
  <c r="BP209" i="4"/>
  <c r="BQ209" i="4" s="1"/>
  <c r="CK209" i="4" s="1"/>
  <c r="BR201" i="4"/>
  <c r="BP201" i="4"/>
  <c r="BQ201" i="4" s="1"/>
  <c r="CK201" i="4" s="1"/>
  <c r="BR161" i="4"/>
  <c r="BP161" i="4"/>
  <c r="BQ161" i="4" s="1"/>
  <c r="CK161" i="4" s="1"/>
  <c r="CG161" i="4"/>
  <c r="BR183" i="4"/>
  <c r="BP183" i="4"/>
  <c r="BQ183" i="4" s="1"/>
  <c r="CK183" i="4" s="1"/>
  <c r="BR185" i="4"/>
  <c r="BP185" i="4"/>
  <c r="BQ185" i="4" s="1"/>
  <c r="CK185" i="4" s="1"/>
  <c r="BR163" i="4"/>
  <c r="BP163" i="4"/>
  <c r="BQ163" i="4" s="1"/>
  <c r="CK163" i="4" s="1"/>
  <c r="CG163" i="4"/>
  <c r="BR172" i="4"/>
  <c r="BP172" i="4"/>
  <c r="BQ172" i="4" s="1"/>
  <c r="CK172" i="4" s="1"/>
  <c r="CG172" i="4"/>
  <c r="CF172" i="4"/>
  <c r="BR162" i="4"/>
  <c r="BP162" i="4"/>
  <c r="BQ162" i="4" s="1"/>
  <c r="CK162" i="4" s="1"/>
  <c r="BR171" i="4"/>
  <c r="BP171" i="4"/>
  <c r="BQ171" i="4" s="1"/>
  <c r="CK171" i="4" s="1"/>
  <c r="CF171" i="4"/>
  <c r="BR130" i="4"/>
  <c r="BP130" i="4"/>
  <c r="BQ130" i="4" s="1"/>
  <c r="CK130" i="4" s="1"/>
  <c r="BR127" i="4"/>
  <c r="BP127" i="4"/>
  <c r="BQ127" i="4" s="1"/>
  <c r="CK127" i="4" s="1"/>
  <c r="BP98" i="4"/>
  <c r="BQ98" i="4" s="1"/>
  <c r="CK98" i="4" s="1"/>
  <c r="BR98" i="4"/>
  <c r="BR109" i="4"/>
  <c r="BP109" i="4"/>
  <c r="BQ109" i="4" s="1"/>
  <c r="CK109" i="4" s="1"/>
  <c r="CF109" i="4"/>
  <c r="CG109" i="4"/>
  <c r="BR116" i="4"/>
  <c r="BP116" i="4"/>
  <c r="BQ116" i="4" s="1"/>
  <c r="CK116" i="4" s="1"/>
  <c r="CG116" i="4"/>
  <c r="CF116" i="4"/>
  <c r="BR103" i="4"/>
  <c r="BP103" i="4"/>
  <c r="BQ103" i="4" s="1"/>
  <c r="CK103" i="4" s="1"/>
  <c r="BR107" i="4"/>
  <c r="BP107" i="4"/>
  <c r="BQ107" i="4" s="1"/>
  <c r="CK107" i="4" s="1"/>
  <c r="CF107" i="4"/>
  <c r="BR67" i="4"/>
  <c r="BP67" i="4"/>
  <c r="BQ67" i="4" s="1"/>
  <c r="CK67" i="4" s="1"/>
  <c r="CG67" i="4"/>
  <c r="BR86" i="4"/>
  <c r="BP86" i="4"/>
  <c r="BQ86" i="4" s="1"/>
  <c r="CK86" i="4" s="1"/>
  <c r="BR64" i="4"/>
  <c r="BP64" i="4"/>
  <c r="BQ64" i="4" s="1"/>
  <c r="CK64" i="4" s="1"/>
  <c r="BR63" i="4"/>
  <c r="BP63" i="4"/>
  <c r="BQ63" i="4" s="1"/>
  <c r="CK63" i="4" s="1"/>
  <c r="BR49" i="4"/>
  <c r="BP49" i="4"/>
  <c r="BQ49" i="4" s="1"/>
  <c r="CK49" i="4" s="1"/>
  <c r="CG49" i="4"/>
  <c r="CF49" i="4"/>
  <c r="BR53" i="4"/>
  <c r="BP53" i="4"/>
  <c r="BQ53" i="4" s="1"/>
  <c r="CK53" i="4" s="1"/>
  <c r="BP30" i="4"/>
  <c r="BQ30" i="4" s="1"/>
  <c r="CK30" i="4" s="1"/>
  <c r="BR30" i="4"/>
  <c r="CG30" i="4"/>
  <c r="CF30" i="4"/>
  <c r="BR43" i="4"/>
  <c r="BP43" i="4"/>
  <c r="BQ43" i="4" s="1"/>
  <c r="CK43" i="4" s="1"/>
  <c r="BR6" i="4"/>
  <c r="BP6" i="4"/>
  <c r="BQ6" i="4" s="1"/>
  <c r="CK6" i="4" s="1"/>
  <c r="BR23" i="4"/>
  <c r="BP23" i="4"/>
  <c r="BQ23" i="4" s="1"/>
  <c r="CK23" i="4" s="1"/>
  <c r="CF23" i="4"/>
  <c r="CG23" i="4"/>
  <c r="CF9" i="4"/>
  <c r="CG170" i="4"/>
  <c r="CG63" i="4"/>
  <c r="CG130" i="4"/>
  <c r="CF96" i="4"/>
  <c r="CF130" i="4"/>
  <c r="CG75" i="4"/>
  <c r="BR208" i="4"/>
  <c r="BP208" i="4"/>
  <c r="BQ208" i="4" s="1"/>
  <c r="CK208" i="4" s="1"/>
  <c r="CF208" i="4"/>
  <c r="BR142" i="4"/>
  <c r="BP142" i="4"/>
  <c r="BQ142" i="4" s="1"/>
  <c r="CK142" i="4" s="1"/>
  <c r="CF142" i="4"/>
  <c r="CG142" i="4"/>
  <c r="BR118" i="4"/>
  <c r="BP118" i="4"/>
  <c r="BQ118" i="4" s="1"/>
  <c r="CK118" i="4" s="1"/>
  <c r="CG118" i="4"/>
  <c r="CF118" i="4"/>
  <c r="BR76" i="4"/>
  <c r="BP76" i="4"/>
  <c r="BQ76" i="4" s="1"/>
  <c r="CK76" i="4" s="1"/>
  <c r="BR27" i="4"/>
  <c r="BP27" i="4"/>
  <c r="BQ27" i="4" s="1"/>
  <c r="CK27" i="4" s="1"/>
  <c r="CG27" i="4"/>
  <c r="CF27" i="4"/>
  <c r="BR180" i="4"/>
  <c r="BP180" i="4"/>
  <c r="BQ180" i="4" s="1"/>
  <c r="CK180" i="4" s="1"/>
  <c r="CF180" i="4"/>
  <c r="CG180" i="4"/>
  <c r="CG136" i="4"/>
  <c r="CG87" i="4"/>
  <c r="BR193" i="4"/>
  <c r="BP193" i="4"/>
  <c r="BQ193" i="4" s="1"/>
  <c r="CK193" i="4" s="1"/>
  <c r="CF143" i="4"/>
  <c r="CG36" i="4"/>
  <c r="CG76" i="4"/>
  <c r="CF51" i="4"/>
  <c r="CF111" i="4"/>
  <c r="BO212" i="4"/>
  <c r="BO226" i="4" s="1"/>
  <c r="CF105" i="4"/>
  <c r="BR184" i="4"/>
  <c r="BP184" i="4"/>
  <c r="BQ184" i="4" s="1"/>
  <c r="CK184" i="4" s="1"/>
  <c r="CG184" i="4"/>
  <c r="CF184" i="4"/>
  <c r="BR206" i="4"/>
  <c r="BP206" i="4"/>
  <c r="BQ206" i="4" s="1"/>
  <c r="CK206" i="4" s="1"/>
  <c r="CF206" i="4"/>
  <c r="BP200" i="4"/>
  <c r="BQ200" i="4" s="1"/>
  <c r="CK200" i="4" s="1"/>
  <c r="BR200" i="4"/>
  <c r="BR153" i="4"/>
  <c r="BP153" i="4"/>
  <c r="BQ153" i="4" s="1"/>
  <c r="CK153" i="4" s="1"/>
  <c r="BR145" i="4"/>
  <c r="BP145" i="4"/>
  <c r="BQ145" i="4" s="1"/>
  <c r="CK145" i="4" s="1"/>
  <c r="CG145" i="4"/>
  <c r="BR155" i="4"/>
  <c r="BP155" i="4"/>
  <c r="BQ155" i="4" s="1"/>
  <c r="CK155" i="4" s="1"/>
  <c r="CG155" i="4"/>
  <c r="BR165" i="4"/>
  <c r="BP165" i="4"/>
  <c r="BQ165" i="4" s="1"/>
  <c r="CK165" i="4" s="1"/>
  <c r="CF165" i="4"/>
  <c r="BR154" i="4"/>
  <c r="BP154" i="4"/>
  <c r="BQ154" i="4" s="1"/>
  <c r="CK154" i="4" s="1"/>
  <c r="BR164" i="4"/>
  <c r="BP164" i="4"/>
  <c r="BQ164" i="4" s="1"/>
  <c r="CK164" i="4" s="1"/>
  <c r="CG164" i="4"/>
  <c r="BR139" i="4"/>
  <c r="BP139" i="4"/>
  <c r="BQ139" i="4" s="1"/>
  <c r="CK139" i="4" s="1"/>
  <c r="CG139" i="4"/>
  <c r="CF139" i="4"/>
  <c r="BR138" i="4"/>
  <c r="BP138" i="4"/>
  <c r="BQ138" i="4" s="1"/>
  <c r="CK138" i="4" s="1"/>
  <c r="BP88" i="4"/>
  <c r="BQ88" i="4" s="1"/>
  <c r="CK88" i="4" s="1"/>
  <c r="BR88" i="4"/>
  <c r="BP122" i="4"/>
  <c r="BQ122" i="4" s="1"/>
  <c r="CK122" i="4" s="1"/>
  <c r="BR122" i="4"/>
  <c r="CF122" i="4"/>
  <c r="BR80" i="4"/>
  <c r="BP80" i="4"/>
  <c r="BQ80" i="4" s="1"/>
  <c r="CK80" i="4" s="1"/>
  <c r="CF80" i="4"/>
  <c r="BR95" i="4"/>
  <c r="BP95" i="4"/>
  <c r="BQ95" i="4" s="1"/>
  <c r="CK95" i="4" s="1"/>
  <c r="CF95" i="4"/>
  <c r="BR99" i="4"/>
  <c r="BP99" i="4"/>
  <c r="BQ99" i="4" s="1"/>
  <c r="CK99" i="4" s="1"/>
  <c r="BP79" i="4"/>
  <c r="BQ79" i="4" s="1"/>
  <c r="CK79" i="4" s="1"/>
  <c r="BR79" i="4"/>
  <c r="CG79" i="4"/>
  <c r="BR78" i="4"/>
  <c r="BP78" i="4"/>
  <c r="BQ78" i="4" s="1"/>
  <c r="CK78" i="4" s="1"/>
  <c r="BP69" i="4"/>
  <c r="BQ69" i="4" s="1"/>
  <c r="CK69" i="4" s="1"/>
  <c r="BR69" i="4"/>
  <c r="CG69" i="4"/>
  <c r="CF69" i="4"/>
  <c r="BP68" i="4"/>
  <c r="BQ68" i="4" s="1"/>
  <c r="CK68" i="4" s="1"/>
  <c r="BR68" i="4"/>
  <c r="BP54" i="4"/>
  <c r="BQ54" i="4" s="1"/>
  <c r="CK54" i="4" s="1"/>
  <c r="BR54" i="4"/>
  <c r="CG54" i="4"/>
  <c r="CF54" i="4"/>
  <c r="BR45" i="4"/>
  <c r="BP45" i="4"/>
  <c r="BQ45" i="4" s="1"/>
  <c r="CK45" i="4" s="1"/>
  <c r="BR11" i="4"/>
  <c r="BP11" i="4"/>
  <c r="BQ11" i="4" s="1"/>
  <c r="CK11" i="4" s="1"/>
  <c r="BR34" i="4"/>
  <c r="BP34" i="4"/>
  <c r="BQ34" i="4" s="1"/>
  <c r="CK34" i="4" s="1"/>
  <c r="BR24" i="4"/>
  <c r="BP24" i="4"/>
  <c r="BQ24" i="4" s="1"/>
  <c r="CK24" i="4" s="1"/>
  <c r="BR15" i="4"/>
  <c r="BP15" i="4"/>
  <c r="BQ15" i="4" s="1"/>
  <c r="CK15" i="4" s="1"/>
  <c r="CG62" i="4"/>
  <c r="CG210" i="4"/>
  <c r="CG134" i="4"/>
  <c r="CF170" i="4"/>
  <c r="CF78" i="4"/>
  <c r="CF158" i="4"/>
  <c r="CG24" i="4"/>
  <c r="CF32" i="4"/>
  <c r="BP186" i="4"/>
  <c r="BQ186" i="4" s="1"/>
  <c r="CK186" i="4" s="1"/>
  <c r="BR186" i="4"/>
  <c r="CF186" i="4"/>
  <c r="CG186" i="4"/>
  <c r="BR148" i="4"/>
  <c r="BP148" i="4"/>
  <c r="BQ148" i="4" s="1"/>
  <c r="CK148" i="4" s="1"/>
  <c r="BR92" i="4"/>
  <c r="BP92" i="4"/>
  <c r="BQ92" i="4" s="1"/>
  <c r="CK92" i="4" s="1"/>
  <c r="CG92" i="4"/>
  <c r="BR55" i="4"/>
  <c r="BP55" i="4"/>
  <c r="BQ55" i="4" s="1"/>
  <c r="CK55" i="4" s="1"/>
  <c r="CF55" i="4"/>
  <c r="BR8" i="4"/>
  <c r="BP8" i="4"/>
  <c r="BQ8" i="4" s="1"/>
  <c r="CK8" i="4" s="1"/>
  <c r="CG174" i="4"/>
  <c r="CF149" i="4"/>
  <c r="CF92" i="4"/>
  <c r="BR176" i="4"/>
  <c r="BP176" i="4"/>
  <c r="BQ176" i="4" s="1"/>
  <c r="CK176" i="4" s="1"/>
  <c r="CF176" i="4"/>
  <c r="BR140" i="4"/>
  <c r="BP140" i="4"/>
  <c r="BQ140" i="4" s="1"/>
  <c r="CK140" i="4" s="1"/>
  <c r="CG158" i="4"/>
  <c r="CG143" i="4"/>
  <c r="AC226" i="4"/>
  <c r="E32" i="6"/>
  <c r="CG105" i="4"/>
  <c r="BR179" i="4"/>
  <c r="BP179" i="4"/>
  <c r="BQ179" i="4" s="1"/>
  <c r="CK179" i="4" s="1"/>
  <c r="BR194" i="4"/>
  <c r="BP194" i="4"/>
  <c r="BQ194" i="4" s="1"/>
  <c r="CK194" i="4" s="1"/>
  <c r="BR202" i="4"/>
  <c r="BP202" i="4"/>
  <c r="BQ202" i="4" s="1"/>
  <c r="CK202" i="4" s="1"/>
  <c r="CF202" i="4"/>
  <c r="BR173" i="4"/>
  <c r="BP173" i="4"/>
  <c r="BQ173" i="4" s="1"/>
  <c r="CK173" i="4" s="1"/>
  <c r="BR147" i="4"/>
  <c r="BP147" i="4"/>
  <c r="BQ147" i="4" s="1"/>
  <c r="CK147" i="4" s="1"/>
  <c r="CG147" i="4"/>
  <c r="CF147" i="4"/>
  <c r="BR157" i="4"/>
  <c r="BP157" i="4"/>
  <c r="BQ157" i="4" s="1"/>
  <c r="CK157" i="4" s="1"/>
  <c r="CG157" i="4"/>
  <c r="CF157" i="4"/>
  <c r="BR146" i="4"/>
  <c r="BP146" i="4"/>
  <c r="BQ146" i="4" s="1"/>
  <c r="CK146" i="4" s="1"/>
  <c r="BR156" i="4"/>
  <c r="BP156" i="4"/>
  <c r="BQ156" i="4" s="1"/>
  <c r="CK156" i="4" s="1"/>
  <c r="CG156" i="4"/>
  <c r="CF156" i="4"/>
  <c r="BR131" i="4"/>
  <c r="BP131" i="4"/>
  <c r="BQ131" i="4" s="1"/>
  <c r="CK131" i="4" s="1"/>
  <c r="BR126" i="4"/>
  <c r="BP126" i="4"/>
  <c r="BQ126" i="4" s="1"/>
  <c r="CK126" i="4" s="1"/>
  <c r="BP114" i="4"/>
  <c r="BQ114" i="4" s="1"/>
  <c r="CK114" i="4" s="1"/>
  <c r="BR114" i="4"/>
  <c r="CF114" i="4"/>
  <c r="CG114" i="4"/>
  <c r="BP104" i="4"/>
  <c r="BQ104" i="4" s="1"/>
  <c r="CK104" i="4" s="1"/>
  <c r="BR104" i="4"/>
  <c r="BR100" i="4"/>
  <c r="BP100" i="4"/>
  <c r="BQ100" i="4" s="1"/>
  <c r="CK100" i="4" s="1"/>
  <c r="CF100" i="4"/>
  <c r="CG100" i="4"/>
  <c r="BR91" i="4"/>
  <c r="BP91" i="4"/>
  <c r="BQ91" i="4" s="1"/>
  <c r="CK91" i="4" s="1"/>
  <c r="CF91" i="4"/>
  <c r="BR84" i="4"/>
  <c r="BP84" i="4"/>
  <c r="BQ84" i="4" s="1"/>
  <c r="CK84" i="4" s="1"/>
  <c r="CG84" i="4"/>
  <c r="BR60" i="4"/>
  <c r="BP60" i="4"/>
  <c r="BQ60" i="4" s="1"/>
  <c r="CK60" i="4" s="1"/>
  <c r="CG60" i="4"/>
  <c r="BP61" i="4"/>
  <c r="BQ61" i="4" s="1"/>
  <c r="CK61" i="4" s="1"/>
  <c r="BR61" i="4"/>
  <c r="CG61" i="4"/>
  <c r="BP46" i="4"/>
  <c r="BQ46" i="4" s="1"/>
  <c r="CK46" i="4" s="1"/>
  <c r="BR46" i="4"/>
  <c r="CF46" i="4"/>
  <c r="CG46" i="4"/>
  <c r="BR40" i="4"/>
  <c r="BP40" i="4"/>
  <c r="BQ40" i="4" s="1"/>
  <c r="CK40" i="4" s="1"/>
  <c r="CF40" i="4"/>
  <c r="BR35" i="4"/>
  <c r="BP35" i="4"/>
  <c r="BQ35" i="4" s="1"/>
  <c r="CK35" i="4" s="1"/>
  <c r="CG35" i="4"/>
  <c r="CF35" i="4"/>
  <c r="BR26" i="4"/>
  <c r="BP26" i="4"/>
  <c r="BQ26" i="4" s="1"/>
  <c r="CK26" i="4" s="1"/>
  <c r="CG26" i="4"/>
  <c r="BR16" i="4"/>
  <c r="BP16" i="4"/>
  <c r="BQ16" i="4" s="1"/>
  <c r="CK16" i="4" s="1"/>
  <c r="CG16" i="4"/>
  <c r="CF16" i="4"/>
  <c r="BP7" i="4"/>
  <c r="BQ7" i="4" s="1"/>
  <c r="CK7" i="4" s="1"/>
  <c r="BR7" i="4"/>
  <c r="CG7" i="4"/>
  <c r="CG33" i="4"/>
  <c r="CF65" i="4"/>
  <c r="CG198" i="4"/>
  <c r="CG173" i="4"/>
  <c r="CF73" i="4"/>
  <c r="CG91" i="4"/>
  <c r="CF185" i="4"/>
  <c r="C32" i="17"/>
  <c r="F21" i="1"/>
  <c r="D30" i="17"/>
  <c r="D29" i="17"/>
  <c r="F141" i="1" l="1"/>
  <c r="F135" i="1"/>
  <c r="BW165" i="4"/>
  <c r="BW191" i="4"/>
  <c r="BW202" i="4"/>
  <c r="BW204" i="4"/>
  <c r="BW180" i="4"/>
  <c r="BW172" i="4"/>
  <c r="BW186" i="4"/>
  <c r="CF212" i="4"/>
  <c r="CF226" i="4" s="1"/>
  <c r="BS202" i="4"/>
  <c r="BS45" i="4"/>
  <c r="BW45" i="4"/>
  <c r="BS141" i="4"/>
  <c r="BW141" i="4"/>
  <c r="BS148" i="4"/>
  <c r="BW148" i="4"/>
  <c r="BS99" i="4"/>
  <c r="BW99" i="4"/>
  <c r="BS23" i="4"/>
  <c r="BW23" i="4"/>
  <c r="BS102" i="4"/>
  <c r="BW102" i="4"/>
  <c r="BS106" i="4"/>
  <c r="BW106" i="4"/>
  <c r="BS51" i="4"/>
  <c r="BW51" i="4"/>
  <c r="BS165" i="4"/>
  <c r="BS30" i="4"/>
  <c r="BW30" i="4"/>
  <c r="BS209" i="4"/>
  <c r="BW209" i="4"/>
  <c r="BS48" i="4"/>
  <c r="BS28" i="4"/>
  <c r="BW28" i="4"/>
  <c r="BS194" i="4"/>
  <c r="BW194" i="4"/>
  <c r="BW147" i="4"/>
  <c r="BS147" i="4"/>
  <c r="BS193" i="4"/>
  <c r="BW193" i="4"/>
  <c r="BW152" i="4"/>
  <c r="BS152" i="4"/>
  <c r="BW14" i="4"/>
  <c r="BS14" i="4"/>
  <c r="BS119" i="4"/>
  <c r="BW119" i="4"/>
  <c r="BS105" i="4"/>
  <c r="BW105" i="4"/>
  <c r="BS95" i="4"/>
  <c r="BW95" i="4"/>
  <c r="BS124" i="4"/>
  <c r="BS17" i="4"/>
  <c r="BW17" i="4"/>
  <c r="BS120" i="4"/>
  <c r="BS91" i="4"/>
  <c r="BW91" i="4"/>
  <c r="BW43" i="4"/>
  <c r="BS43" i="4"/>
  <c r="BS75" i="4"/>
  <c r="BS158" i="4"/>
  <c r="BW158" i="4"/>
  <c r="BS138" i="4"/>
  <c r="BW138" i="4"/>
  <c r="BS27" i="4"/>
  <c r="BW27" i="4"/>
  <c r="BS188" i="4"/>
  <c r="BW188" i="4"/>
  <c r="BS101" i="4"/>
  <c r="BS10" i="4"/>
  <c r="BW10" i="4"/>
  <c r="BW157" i="4"/>
  <c r="BS157" i="4"/>
  <c r="BS68" i="4"/>
  <c r="BW68" i="4"/>
  <c r="BS80" i="4"/>
  <c r="BW80" i="4"/>
  <c r="BS136" i="4"/>
  <c r="BS32" i="4"/>
  <c r="BW32" i="4"/>
  <c r="BS195" i="4"/>
  <c r="BW195" i="4"/>
  <c r="BS134" i="4"/>
  <c r="BW134" i="4"/>
  <c r="BS103" i="4"/>
  <c r="BW103" i="4"/>
  <c r="BW20" i="4"/>
  <c r="BS20" i="4"/>
  <c r="BS151" i="4"/>
  <c r="BW151" i="4"/>
  <c r="BS9" i="4"/>
  <c r="BW97" i="4"/>
  <c r="BS97" i="4"/>
  <c r="BS205" i="4"/>
  <c r="BW205" i="4"/>
  <c r="BS50" i="4"/>
  <c r="BS7" i="4"/>
  <c r="BW7" i="4"/>
  <c r="BS173" i="4"/>
  <c r="BW173" i="4"/>
  <c r="BS179" i="4"/>
  <c r="BW15" i="4"/>
  <c r="BS15" i="4"/>
  <c r="BS54" i="4"/>
  <c r="BW54" i="4"/>
  <c r="BW115" i="4"/>
  <c r="BS115" i="4"/>
  <c r="BP212" i="4"/>
  <c r="BP226" i="4" s="1"/>
  <c r="BS144" i="4"/>
  <c r="BW144" i="4"/>
  <c r="BS135" i="4"/>
  <c r="BW135" i="4"/>
  <c r="BS39" i="4"/>
  <c r="BW39" i="4"/>
  <c r="BS71" i="4"/>
  <c r="BW71" i="4"/>
  <c r="BS181" i="4"/>
  <c r="BW181" i="4"/>
  <c r="BS174" i="4"/>
  <c r="BW174" i="4"/>
  <c r="BS33" i="4"/>
  <c r="BW33" i="4"/>
  <c r="BS121" i="4"/>
  <c r="BW121" i="4"/>
  <c r="BS73" i="4"/>
  <c r="BW73" i="4"/>
  <c r="BS150" i="4"/>
  <c r="BS41" i="4"/>
  <c r="BW41" i="4"/>
  <c r="BW96" i="4"/>
  <c r="BS96" i="4"/>
  <c r="BS186" i="4"/>
  <c r="BS92" i="4"/>
  <c r="BW92" i="4"/>
  <c r="CG212" i="4"/>
  <c r="CG226" i="4" s="1"/>
  <c r="BS79" i="4"/>
  <c r="BW79" i="4"/>
  <c r="BS85" i="4"/>
  <c r="BW85" i="4"/>
  <c r="BS65" i="4"/>
  <c r="BW65" i="4"/>
  <c r="BS8" i="4"/>
  <c r="BW8" i="4"/>
  <c r="BS88" i="4"/>
  <c r="BW88" i="4"/>
  <c r="BS153" i="4"/>
  <c r="BW153" i="4"/>
  <c r="BS206" i="4"/>
  <c r="BW206" i="4"/>
  <c r="BS162" i="4"/>
  <c r="BW162" i="4"/>
  <c r="BS107" i="4"/>
  <c r="BW107" i="4"/>
  <c r="BS201" i="4"/>
  <c r="BR212" i="4"/>
  <c r="BR226" i="4" s="1"/>
  <c r="BS25" i="4"/>
  <c r="BW25" i="4"/>
  <c r="BS22" i="4"/>
  <c r="BS178" i="4"/>
  <c r="BW178" i="4"/>
  <c r="BS198" i="4"/>
  <c r="BW198" i="4"/>
  <c r="BS31" i="4"/>
  <c r="BW31" i="4"/>
  <c r="BS111" i="4"/>
  <c r="BW111" i="4"/>
  <c r="BW185" i="4"/>
  <c r="BS185" i="4"/>
  <c r="BS161" i="4"/>
  <c r="BW161" i="4"/>
  <c r="BS42" i="4"/>
  <c r="BW42" i="4"/>
  <c r="BS143" i="4"/>
  <c r="BW143" i="4"/>
  <c r="BS84" i="4"/>
  <c r="BW84" i="4"/>
  <c r="BW13" i="4"/>
  <c r="BS13" i="4"/>
  <c r="AD226" i="4"/>
  <c r="E33" i="6"/>
  <c r="BS203" i="4"/>
  <c r="BW203" i="4"/>
  <c r="BS177" i="4"/>
  <c r="BW177" i="4"/>
  <c r="BS129" i="4"/>
  <c r="BW129" i="4"/>
  <c r="BW133" i="4"/>
  <c r="BS133" i="4"/>
  <c r="BS26" i="4"/>
  <c r="BW26" i="4"/>
  <c r="BW34" i="4"/>
  <c r="BS34" i="4"/>
  <c r="BS184" i="4"/>
  <c r="BW184" i="4"/>
  <c r="BS76" i="4"/>
  <c r="BW76" i="4"/>
  <c r="BS104" i="4"/>
  <c r="BW104" i="4"/>
  <c r="BS63" i="4"/>
  <c r="BW63" i="4"/>
  <c r="BS87" i="4"/>
  <c r="BW87" i="4"/>
  <c r="BS118" i="4"/>
  <c r="BW118" i="4"/>
  <c r="BS82" i="4"/>
  <c r="BS93" i="4"/>
  <c r="BW93" i="4"/>
  <c r="AO212" i="4"/>
  <c r="BU5" i="4"/>
  <c r="BW40" i="4"/>
  <c r="BS40" i="4"/>
  <c r="BS140" i="4"/>
  <c r="BW140" i="4"/>
  <c r="BS122" i="4"/>
  <c r="BW122" i="4"/>
  <c r="BS204" i="4"/>
  <c r="BS142" i="4"/>
  <c r="BW142" i="4"/>
  <c r="BW163" i="4"/>
  <c r="BS163" i="4"/>
  <c r="BS196" i="4"/>
  <c r="BW196" i="4"/>
  <c r="BS56" i="4"/>
  <c r="BW56" i="4"/>
  <c r="BS114" i="4"/>
  <c r="BW114" i="4"/>
  <c r="BS94" i="4"/>
  <c r="BW94" i="4"/>
  <c r="BW155" i="4"/>
  <c r="BS155" i="4"/>
  <c r="BW52" i="4"/>
  <c r="BS52" i="4"/>
  <c r="BS149" i="4"/>
  <c r="BS35" i="4"/>
  <c r="BS180" i="4"/>
  <c r="BS208" i="4"/>
  <c r="BW208" i="4"/>
  <c r="BS6" i="4"/>
  <c r="BW6" i="4"/>
  <c r="BS53" i="4"/>
  <c r="BW53" i="4"/>
  <c r="BW66" i="4"/>
  <c r="BS66" i="4"/>
  <c r="BS21" i="4"/>
  <c r="BS36" i="4"/>
  <c r="BS167" i="4"/>
  <c r="BW167" i="4"/>
  <c r="BS57" i="4"/>
  <c r="BW57" i="4"/>
  <c r="BS74" i="4"/>
  <c r="BS70" i="4"/>
  <c r="BW70" i="4"/>
  <c r="BS190" i="4"/>
  <c r="BW190" i="4"/>
  <c r="BV6" i="4"/>
  <c r="BV14" i="4"/>
  <c r="BV22" i="4"/>
  <c r="BV9" i="4"/>
  <c r="BV17" i="4"/>
  <c r="BV12" i="4"/>
  <c r="BV20" i="4"/>
  <c r="BV7" i="4"/>
  <c r="BV15" i="4"/>
  <c r="BV23" i="4"/>
  <c r="BV10" i="4"/>
  <c r="BV18" i="4"/>
  <c r="BV8" i="4"/>
  <c r="BV16" i="4"/>
  <c r="BV24" i="4"/>
  <c r="BV11" i="4"/>
  <c r="BV19" i="4"/>
  <c r="BV28" i="4"/>
  <c r="BV36" i="4"/>
  <c r="BV21" i="4"/>
  <c r="BV25" i="4"/>
  <c r="BV31" i="4"/>
  <c r="BV40" i="4"/>
  <c r="BV26" i="4"/>
  <c r="BV34" i="4"/>
  <c r="BV29" i="4"/>
  <c r="BV37" i="4"/>
  <c r="BV32" i="4"/>
  <c r="BV41" i="4"/>
  <c r="BV30" i="4"/>
  <c r="BV39" i="4"/>
  <c r="BV13" i="4"/>
  <c r="BV33" i="4"/>
  <c r="BV42" i="4"/>
  <c r="BV27" i="4"/>
  <c r="BV47" i="4"/>
  <c r="BV55" i="4"/>
  <c r="BV50" i="4"/>
  <c r="BV57" i="4"/>
  <c r="BV35" i="4"/>
  <c r="BV45" i="4"/>
  <c r="BV53" i="4"/>
  <c r="BV48" i="4"/>
  <c r="BV56" i="4"/>
  <c r="BV51" i="4"/>
  <c r="BV43" i="4"/>
  <c r="BV46" i="4"/>
  <c r="BV54" i="4"/>
  <c r="BV49" i="4"/>
  <c r="BV62" i="4"/>
  <c r="BV70" i="4"/>
  <c r="BV65" i="4"/>
  <c r="BV68" i="4"/>
  <c r="BV63" i="4"/>
  <c r="BV71" i="4"/>
  <c r="BV44" i="4"/>
  <c r="BV59" i="4"/>
  <c r="BV66" i="4"/>
  <c r="BV52" i="4"/>
  <c r="BV60" i="4"/>
  <c r="BV67" i="4"/>
  <c r="BV75" i="4"/>
  <c r="BV74" i="4"/>
  <c r="BV77" i="4"/>
  <c r="BV85" i="4"/>
  <c r="BV69" i="4"/>
  <c r="BV80" i="4"/>
  <c r="BV64" i="4"/>
  <c r="BV83" i="4"/>
  <c r="BV78" i="4"/>
  <c r="BV86" i="4"/>
  <c r="BV73" i="4"/>
  <c r="BV81" i="4"/>
  <c r="BV61" i="4"/>
  <c r="BV76" i="4"/>
  <c r="BV84" i="4"/>
  <c r="BV58" i="4"/>
  <c r="BV72" i="4"/>
  <c r="BV79" i="4"/>
  <c r="BV87" i="4"/>
  <c r="BV82" i="4"/>
  <c r="BV89" i="4"/>
  <c r="BV93" i="4"/>
  <c r="BV101" i="4"/>
  <c r="BV96" i="4"/>
  <c r="BV104" i="4"/>
  <c r="BV91" i="4"/>
  <c r="BV99" i="4"/>
  <c r="BV107" i="4"/>
  <c r="BV94" i="4"/>
  <c r="BV102" i="4"/>
  <c r="BV97" i="4"/>
  <c r="BV105" i="4"/>
  <c r="BV88" i="4"/>
  <c r="BV95" i="4"/>
  <c r="BV103" i="4"/>
  <c r="BV90" i="4"/>
  <c r="BV98" i="4"/>
  <c r="BV106" i="4"/>
  <c r="BV92" i="4"/>
  <c r="BV110" i="4"/>
  <c r="BV118" i="4"/>
  <c r="BV126" i="4"/>
  <c r="BV113" i="4"/>
  <c r="BV121" i="4"/>
  <c r="BV100" i="4"/>
  <c r="BV116" i="4"/>
  <c r="BV124" i="4"/>
  <c r="BV108" i="4"/>
  <c r="BV111" i="4"/>
  <c r="BV119" i="4"/>
  <c r="BV114" i="4"/>
  <c r="BV122" i="4"/>
  <c r="BV112" i="4"/>
  <c r="BV120" i="4"/>
  <c r="BV115" i="4"/>
  <c r="BV123" i="4"/>
  <c r="BV117" i="4"/>
  <c r="BV130" i="4"/>
  <c r="BV137" i="4"/>
  <c r="BV133" i="4"/>
  <c r="BV140" i="4"/>
  <c r="BV129" i="4"/>
  <c r="BV135" i="4"/>
  <c r="BV143" i="4"/>
  <c r="BV131" i="4"/>
  <c r="BV138" i="4"/>
  <c r="BV127" i="4"/>
  <c r="BV134" i="4"/>
  <c r="BV141" i="4"/>
  <c r="BV109" i="4"/>
  <c r="BV139" i="4"/>
  <c r="BV128" i="4"/>
  <c r="BV142" i="4"/>
  <c r="BV136" i="4"/>
  <c r="BV150" i="4"/>
  <c r="BV158" i="4"/>
  <c r="BV166" i="4"/>
  <c r="BV173" i="4"/>
  <c r="BV145" i="4"/>
  <c r="BV153" i="4"/>
  <c r="BV161" i="4"/>
  <c r="BV169" i="4"/>
  <c r="BV148" i="4"/>
  <c r="BV156" i="4"/>
  <c r="BV164" i="4"/>
  <c r="BV171" i="4"/>
  <c r="BV144" i="4"/>
  <c r="BV151" i="4"/>
  <c r="BV159" i="4"/>
  <c r="BV167" i="4"/>
  <c r="BV174" i="4"/>
  <c r="BV146" i="4"/>
  <c r="BV154" i="4"/>
  <c r="BV162" i="4"/>
  <c r="BV125" i="4"/>
  <c r="BV149" i="4"/>
  <c r="BV157" i="4"/>
  <c r="BV165" i="4"/>
  <c r="BV172" i="4"/>
  <c r="BV152" i="4"/>
  <c r="BV160" i="4"/>
  <c r="BV168" i="4"/>
  <c r="BV175" i="4"/>
  <c r="BV179" i="4"/>
  <c r="BV201" i="4"/>
  <c r="BV170" i="4"/>
  <c r="BV182" i="4"/>
  <c r="BV190" i="4"/>
  <c r="BV196" i="4"/>
  <c r="BV178" i="4"/>
  <c r="BV185" i="4"/>
  <c r="BV193" i="4"/>
  <c r="BV199" i="4"/>
  <c r="BV205" i="4"/>
  <c r="BV147" i="4"/>
  <c r="BV177" i="4"/>
  <c r="BV180" i="4"/>
  <c r="BV187" i="4"/>
  <c r="BV202" i="4"/>
  <c r="BV183" i="4"/>
  <c r="BV191" i="4"/>
  <c r="BV197" i="4"/>
  <c r="BV204" i="4"/>
  <c r="BV181" i="4"/>
  <c r="BV188" i="4"/>
  <c r="BV195" i="4"/>
  <c r="BV203" i="4"/>
  <c r="BV163" i="4"/>
  <c r="BV184" i="4"/>
  <c r="BV192" i="4"/>
  <c r="BV198" i="4"/>
  <c r="BV176" i="4"/>
  <c r="BV186" i="4"/>
  <c r="BV206" i="4"/>
  <c r="BV209" i="4"/>
  <c r="BV208" i="4"/>
  <c r="BV210" i="4"/>
  <c r="BV194" i="4"/>
  <c r="BV200" i="4"/>
  <c r="BV155" i="4"/>
  <c r="BS170" i="4"/>
  <c r="BS60" i="4"/>
  <c r="BW60" i="4"/>
  <c r="BS112" i="4"/>
  <c r="BS171" i="4"/>
  <c r="BS100" i="4"/>
  <c r="BS176" i="4"/>
  <c r="BW176" i="4"/>
  <c r="BS117" i="4"/>
  <c r="BW117" i="4"/>
  <c r="BW192" i="4"/>
  <c r="BS192" i="4"/>
  <c r="BS16" i="4"/>
  <c r="BS61" i="4"/>
  <c r="BW61" i="4"/>
  <c r="BS156" i="4"/>
  <c r="BW130" i="4"/>
  <c r="BS130" i="4"/>
  <c r="BS64" i="4"/>
  <c r="BW64" i="4"/>
  <c r="BS98" i="4"/>
  <c r="BW98" i="4"/>
  <c r="BS127" i="4"/>
  <c r="BW127" i="4"/>
  <c r="BS182" i="4"/>
  <c r="BW182" i="4"/>
  <c r="BW55" i="4"/>
  <c r="BS55" i="4"/>
  <c r="BS154" i="4"/>
  <c r="BW154" i="4"/>
  <c r="BS19" i="4"/>
  <c r="BW19" i="4"/>
  <c r="BS49" i="4"/>
  <c r="BS172" i="4"/>
  <c r="BS183" i="4"/>
  <c r="BW183" i="4"/>
  <c r="BS191" i="4"/>
  <c r="BW83" i="4"/>
  <c r="BS83" i="4"/>
  <c r="BS29" i="4"/>
  <c r="BW29" i="4"/>
  <c r="BW62" i="4"/>
  <c r="BS62" i="4"/>
  <c r="BS123" i="4"/>
  <c r="BW123" i="4"/>
  <c r="BS108" i="4"/>
  <c r="BW108" i="4"/>
  <c r="BS59" i="4"/>
  <c r="BS139" i="4"/>
  <c r="BW139" i="4"/>
  <c r="BW197" i="4"/>
  <c r="BS197" i="4"/>
  <c r="BS137" i="4"/>
  <c r="BS175" i="4"/>
  <c r="BW175" i="4"/>
  <c r="BS69" i="4"/>
  <c r="BW69" i="4"/>
  <c r="BS37" i="4"/>
  <c r="BS24" i="4"/>
  <c r="BW24" i="4"/>
  <c r="BS164" i="4"/>
  <c r="BW164" i="4"/>
  <c r="BS116" i="4"/>
  <c r="BW116" i="4"/>
  <c r="BS166" i="4"/>
  <c r="BW166" i="4"/>
  <c r="BW126" i="4"/>
  <c r="BS126" i="4"/>
  <c r="BS89" i="4"/>
  <c r="BS58" i="4"/>
  <c r="BW58" i="4"/>
  <c r="AO1" i="4"/>
  <c r="BS78" i="4"/>
  <c r="BW78" i="4"/>
  <c r="BS46" i="4"/>
  <c r="BW46" i="4"/>
  <c r="BW131" i="4"/>
  <c r="BS131" i="4"/>
  <c r="BS146" i="4"/>
  <c r="BW146" i="4"/>
  <c r="BS72" i="4"/>
  <c r="BW72" i="4"/>
  <c r="BS110" i="4"/>
  <c r="BW110" i="4"/>
  <c r="BW200" i="4"/>
  <c r="BS200" i="4"/>
  <c r="BS5" i="4"/>
  <c r="BQ212" i="4"/>
  <c r="BQ226" i="4" s="1"/>
  <c r="BW5" i="4"/>
  <c r="BS11" i="4"/>
  <c r="BW11" i="4"/>
  <c r="BS18" i="4"/>
  <c r="BW18" i="4"/>
  <c r="BS67" i="4"/>
  <c r="BW67" i="4"/>
  <c r="BS109" i="4"/>
  <c r="BW109" i="4"/>
  <c r="BS44" i="4"/>
  <c r="BW44" i="4"/>
  <c r="BS81" i="4"/>
  <c r="BW81" i="4"/>
  <c r="BS113" i="4"/>
  <c r="BW113" i="4"/>
  <c r="BW160" i="4"/>
  <c r="BS160" i="4"/>
  <c r="BS199" i="4"/>
  <c r="BW199" i="4"/>
  <c r="BS77" i="4"/>
  <c r="BW77" i="4"/>
  <c r="BS187" i="4"/>
  <c r="BW187" i="4"/>
  <c r="BS90" i="4"/>
  <c r="BW90" i="4"/>
  <c r="BS125" i="4"/>
  <c r="BW125" i="4"/>
  <c r="BS159" i="4"/>
  <c r="BW159" i="4"/>
  <c r="BS168" i="4"/>
  <c r="BW168" i="4"/>
  <c r="BS210" i="4"/>
  <c r="BS86" i="4"/>
  <c r="BW86" i="4"/>
  <c r="BS145" i="4"/>
  <c r="BW145" i="4"/>
  <c r="BS12" i="4"/>
  <c r="BW12" i="4"/>
  <c r="BS47" i="4"/>
  <c r="BS128" i="4"/>
  <c r="BW128" i="4"/>
  <c r="BS169" i="4"/>
  <c r="BW169" i="4"/>
  <c r="D33" i="17"/>
  <c r="D32" i="17"/>
  <c r="D25" i="1"/>
  <c r="F25" i="1" s="1"/>
  <c r="F22" i="1"/>
  <c r="F47" i="1" s="1"/>
  <c r="D28" i="1" l="1"/>
  <c r="F28" i="1" s="1"/>
  <c r="C112" i="17"/>
  <c r="D113" i="17" s="1"/>
  <c r="AP212" i="4"/>
  <c r="BV5" i="4"/>
  <c r="BW212" i="4"/>
  <c r="BW226" i="4" s="1"/>
  <c r="CK212" i="4"/>
  <c r="CK226" i="4" s="1"/>
  <c r="AP1" i="4"/>
  <c r="C115" i="17" s="1"/>
  <c r="BX11" i="4"/>
  <c r="BX19" i="4"/>
  <c r="BX6" i="4"/>
  <c r="BX14" i="4"/>
  <c r="BX22" i="4"/>
  <c r="BX9" i="4"/>
  <c r="BX17" i="4"/>
  <c r="BX12" i="4"/>
  <c r="BX20" i="4"/>
  <c r="BX7" i="4"/>
  <c r="BX15" i="4"/>
  <c r="BX23" i="4"/>
  <c r="BX13" i="4"/>
  <c r="BX21" i="4"/>
  <c r="BX8" i="4"/>
  <c r="BX16" i="4"/>
  <c r="BX24" i="4"/>
  <c r="BX33" i="4"/>
  <c r="BX42" i="4"/>
  <c r="BX18" i="4"/>
  <c r="BX28" i="4"/>
  <c r="BX36" i="4"/>
  <c r="BX25" i="4"/>
  <c r="BX31" i="4"/>
  <c r="BX40" i="4"/>
  <c r="BX26" i="4"/>
  <c r="BX34" i="4"/>
  <c r="BX29" i="4"/>
  <c r="BX37" i="4"/>
  <c r="BX27" i="4"/>
  <c r="BX35" i="4"/>
  <c r="BX10" i="4"/>
  <c r="BX30" i="4"/>
  <c r="BX39" i="4"/>
  <c r="BX44" i="4"/>
  <c r="BX52" i="4"/>
  <c r="BX47" i="4"/>
  <c r="BX55" i="4"/>
  <c r="BX32" i="4"/>
  <c r="BX50" i="4"/>
  <c r="BX57" i="4"/>
  <c r="BX45" i="4"/>
  <c r="BX53" i="4"/>
  <c r="BX41" i="4"/>
  <c r="BX48" i="4"/>
  <c r="BX56" i="4"/>
  <c r="BX51" i="4"/>
  <c r="BX58" i="4"/>
  <c r="BX43" i="4"/>
  <c r="BX46" i="4"/>
  <c r="BX54" i="4"/>
  <c r="BX60" i="4"/>
  <c r="BX67" i="4"/>
  <c r="BX75" i="4"/>
  <c r="BX62" i="4"/>
  <c r="BX70" i="4"/>
  <c r="BX65" i="4"/>
  <c r="BX73" i="4"/>
  <c r="BX68" i="4"/>
  <c r="BX63" i="4"/>
  <c r="BX71" i="4"/>
  <c r="BX49" i="4"/>
  <c r="BX64" i="4"/>
  <c r="BX72" i="4"/>
  <c r="BX82" i="4"/>
  <c r="BX74" i="4"/>
  <c r="BX77" i="4"/>
  <c r="BX85" i="4"/>
  <c r="BX59" i="4"/>
  <c r="BX69" i="4"/>
  <c r="BX80" i="4"/>
  <c r="BX88" i="4"/>
  <c r="BX83" i="4"/>
  <c r="BX78" i="4"/>
  <c r="BX86" i="4"/>
  <c r="BX66" i="4"/>
  <c r="BX81" i="4"/>
  <c r="BX89" i="4"/>
  <c r="BX61" i="4"/>
  <c r="BX76" i="4"/>
  <c r="BX84" i="4"/>
  <c r="BX79" i="4"/>
  <c r="BX87" i="4"/>
  <c r="BX90" i="4"/>
  <c r="BX98" i="4"/>
  <c r="BX106" i="4"/>
  <c r="BX93" i="4"/>
  <c r="BX101" i="4"/>
  <c r="BX96" i="4"/>
  <c r="BX104" i="4"/>
  <c r="BX91" i="4"/>
  <c r="BX99" i="4"/>
  <c r="BX94" i="4"/>
  <c r="BX102" i="4"/>
  <c r="BX92" i="4"/>
  <c r="BX100" i="4"/>
  <c r="BX108" i="4"/>
  <c r="BX95" i="4"/>
  <c r="BX103" i="4"/>
  <c r="BX115" i="4"/>
  <c r="BX123" i="4"/>
  <c r="BX110" i="4"/>
  <c r="BX118" i="4"/>
  <c r="BX97" i="4"/>
  <c r="BX107" i="4"/>
  <c r="BX113" i="4"/>
  <c r="BX121" i="4"/>
  <c r="BX116" i="4"/>
  <c r="BX111" i="4"/>
  <c r="BX119" i="4"/>
  <c r="BX109" i="4"/>
  <c r="BX117" i="4"/>
  <c r="BX125" i="4"/>
  <c r="BX105" i="4"/>
  <c r="BX112" i="4"/>
  <c r="BX120" i="4"/>
  <c r="BX114" i="4"/>
  <c r="BX124" i="4"/>
  <c r="BX128" i="4"/>
  <c r="BX142" i="4"/>
  <c r="BX130" i="4"/>
  <c r="BX137" i="4"/>
  <c r="BX122" i="4"/>
  <c r="BX133" i="4"/>
  <c r="BX140" i="4"/>
  <c r="BX129" i="4"/>
  <c r="BX135" i="4"/>
  <c r="BX126" i="4"/>
  <c r="BX131" i="4"/>
  <c r="BX138" i="4"/>
  <c r="BX136" i="4"/>
  <c r="BX144" i="4"/>
  <c r="BX139" i="4"/>
  <c r="BX134" i="4"/>
  <c r="BX147" i="4"/>
  <c r="BX155" i="4"/>
  <c r="BX163" i="4"/>
  <c r="BX170" i="4"/>
  <c r="BX150" i="4"/>
  <c r="BX158" i="4"/>
  <c r="BX166" i="4"/>
  <c r="BX173" i="4"/>
  <c r="BX145" i="4"/>
  <c r="BX153" i="4"/>
  <c r="BX161" i="4"/>
  <c r="BX169" i="4"/>
  <c r="BX176" i="4"/>
  <c r="BX148" i="4"/>
  <c r="BX156" i="4"/>
  <c r="BX164" i="4"/>
  <c r="BX171" i="4"/>
  <c r="BX141" i="4"/>
  <c r="BX151" i="4"/>
  <c r="BX159" i="4"/>
  <c r="BX167" i="4"/>
  <c r="BX174" i="4"/>
  <c r="BX143" i="4"/>
  <c r="BX146" i="4"/>
  <c r="BX154" i="4"/>
  <c r="BX162" i="4"/>
  <c r="BX177" i="4"/>
  <c r="BX127" i="4"/>
  <c r="BX149" i="4"/>
  <c r="BX157" i="4"/>
  <c r="BX165" i="4"/>
  <c r="BX172" i="4"/>
  <c r="BX175" i="4"/>
  <c r="BX184" i="4"/>
  <c r="BX192" i="4"/>
  <c r="BX198" i="4"/>
  <c r="BX168" i="4"/>
  <c r="BX179" i="4"/>
  <c r="BX201" i="4"/>
  <c r="BX182" i="4"/>
  <c r="BX190" i="4"/>
  <c r="BX196" i="4"/>
  <c r="BX178" i="4"/>
  <c r="BX185" i="4"/>
  <c r="BX193" i="4"/>
  <c r="BX199" i="4"/>
  <c r="BX205" i="4"/>
  <c r="BX180" i="4"/>
  <c r="BX187" i="4"/>
  <c r="BX202" i="4"/>
  <c r="BX186" i="4"/>
  <c r="BX194" i="4"/>
  <c r="BX200" i="4"/>
  <c r="BX206" i="4"/>
  <c r="BX160" i="4"/>
  <c r="BX181" i="4"/>
  <c r="BX188" i="4"/>
  <c r="BX195" i="4"/>
  <c r="BX203" i="4"/>
  <c r="BX152" i="4"/>
  <c r="BX183" i="4"/>
  <c r="BX209" i="4"/>
  <c r="BX191" i="4"/>
  <c r="BX197" i="4"/>
  <c r="BX208" i="4"/>
  <c r="BX210" i="4"/>
  <c r="BX204" i="4"/>
  <c r="BS212" i="4"/>
  <c r="BS226" i="4" s="1"/>
  <c r="D26" i="1"/>
  <c r="F26" i="1" s="1"/>
  <c r="D42" i="1"/>
  <c r="F42" i="1" s="1"/>
  <c r="D41" i="1"/>
  <c r="F41" i="1" s="1"/>
  <c r="D112" i="17" l="1"/>
  <c r="AE212" i="4"/>
  <c r="AE214" i="4" s="1"/>
  <c r="BX5" i="4"/>
  <c r="BX212" i="4" s="1"/>
  <c r="BX226" i="4" s="1"/>
  <c r="AE1" i="4"/>
  <c r="C90" i="17" s="1"/>
  <c r="BY8" i="4"/>
  <c r="BY16" i="4"/>
  <c r="BY24" i="4"/>
  <c r="BY11" i="4"/>
  <c r="BY19" i="4"/>
  <c r="BY6" i="4"/>
  <c r="BY14" i="4"/>
  <c r="BY22" i="4"/>
  <c r="BY9" i="4"/>
  <c r="BY17" i="4"/>
  <c r="BY12" i="4"/>
  <c r="BY20" i="4"/>
  <c r="BY10" i="4"/>
  <c r="BY18" i="4"/>
  <c r="BY13" i="4"/>
  <c r="BY21" i="4"/>
  <c r="BY7" i="4"/>
  <c r="BY30" i="4"/>
  <c r="BY39" i="4"/>
  <c r="BY33" i="4"/>
  <c r="BY42" i="4"/>
  <c r="BY15" i="4"/>
  <c r="BY28" i="4"/>
  <c r="BY36" i="4"/>
  <c r="BY25" i="4"/>
  <c r="BY31" i="4"/>
  <c r="BY40" i="4"/>
  <c r="BY23" i="4"/>
  <c r="BY26" i="4"/>
  <c r="BY34" i="4"/>
  <c r="BY32" i="4"/>
  <c r="BY41" i="4"/>
  <c r="BY27" i="4"/>
  <c r="BY35" i="4"/>
  <c r="BY49" i="4"/>
  <c r="BY44" i="4"/>
  <c r="BY52" i="4"/>
  <c r="BY47" i="4"/>
  <c r="BY55" i="4"/>
  <c r="BY29" i="4"/>
  <c r="BY50" i="4"/>
  <c r="BY45" i="4"/>
  <c r="BY53" i="4"/>
  <c r="BY37" i="4"/>
  <c r="BY48" i="4"/>
  <c r="BY56" i="4"/>
  <c r="BY51" i="4"/>
  <c r="BY58" i="4"/>
  <c r="BY64" i="4"/>
  <c r="BY72" i="4"/>
  <c r="BY54" i="4"/>
  <c r="BY60" i="4"/>
  <c r="BY67" i="4"/>
  <c r="BY62" i="4"/>
  <c r="BY70" i="4"/>
  <c r="BY65" i="4"/>
  <c r="BY68" i="4"/>
  <c r="BY57" i="4"/>
  <c r="BY59" i="4"/>
  <c r="BY43" i="4"/>
  <c r="BY46" i="4"/>
  <c r="BY61" i="4"/>
  <c r="BY69" i="4"/>
  <c r="BY79" i="4"/>
  <c r="BY87" i="4"/>
  <c r="BY63" i="4"/>
  <c r="BY82" i="4"/>
  <c r="BY74" i="4"/>
  <c r="BY77" i="4"/>
  <c r="BY85" i="4"/>
  <c r="BY80" i="4"/>
  <c r="BY83" i="4"/>
  <c r="BY71" i="4"/>
  <c r="BY73" i="4"/>
  <c r="BY78" i="4"/>
  <c r="BY86" i="4"/>
  <c r="BY66" i="4"/>
  <c r="BY81" i="4"/>
  <c r="BY89" i="4"/>
  <c r="BY95" i="4"/>
  <c r="BY103" i="4"/>
  <c r="BY76" i="4"/>
  <c r="BY90" i="4"/>
  <c r="BY98" i="4"/>
  <c r="BY93" i="4"/>
  <c r="BY101" i="4"/>
  <c r="BY84" i="4"/>
  <c r="BY96" i="4"/>
  <c r="BY104" i="4"/>
  <c r="BY75" i="4"/>
  <c r="BY91" i="4"/>
  <c r="BY99" i="4"/>
  <c r="BY97" i="4"/>
  <c r="BY105" i="4"/>
  <c r="BY88" i="4"/>
  <c r="BY92" i="4"/>
  <c r="BY100" i="4"/>
  <c r="BY112" i="4"/>
  <c r="BY120" i="4"/>
  <c r="BY115" i="4"/>
  <c r="BY123" i="4"/>
  <c r="BY106" i="4"/>
  <c r="BY110" i="4"/>
  <c r="BY118" i="4"/>
  <c r="BY94" i="4"/>
  <c r="BY107" i="4"/>
  <c r="BY113" i="4"/>
  <c r="BY121" i="4"/>
  <c r="BY108" i="4"/>
  <c r="BY116" i="4"/>
  <c r="BY124" i="4"/>
  <c r="BY114" i="4"/>
  <c r="BY122" i="4"/>
  <c r="BY109" i="4"/>
  <c r="BY117" i="4"/>
  <c r="BY125" i="4"/>
  <c r="BY139" i="4"/>
  <c r="BY111" i="4"/>
  <c r="BY128" i="4"/>
  <c r="BY142" i="4"/>
  <c r="BY130" i="4"/>
  <c r="BY137" i="4"/>
  <c r="BY102" i="4"/>
  <c r="BY119" i="4"/>
  <c r="BY133" i="4"/>
  <c r="BY140" i="4"/>
  <c r="BY129" i="4"/>
  <c r="BY135" i="4"/>
  <c r="BY127" i="4"/>
  <c r="BY134" i="4"/>
  <c r="BY141" i="4"/>
  <c r="BY136" i="4"/>
  <c r="BY152" i="4"/>
  <c r="BY160" i="4"/>
  <c r="BY168" i="4"/>
  <c r="BY175" i="4"/>
  <c r="BY126" i="4"/>
  <c r="BY131" i="4"/>
  <c r="BY147" i="4"/>
  <c r="BY155" i="4"/>
  <c r="BY163" i="4"/>
  <c r="BY170" i="4"/>
  <c r="BY150" i="4"/>
  <c r="BY158" i="4"/>
  <c r="BY166" i="4"/>
  <c r="BY173" i="4"/>
  <c r="BY138" i="4"/>
  <c r="BY145" i="4"/>
  <c r="BY153" i="4"/>
  <c r="BY161" i="4"/>
  <c r="BY169" i="4"/>
  <c r="BY144" i="4"/>
  <c r="BY148" i="4"/>
  <c r="BY156" i="4"/>
  <c r="BY164" i="4"/>
  <c r="BY171" i="4"/>
  <c r="BY151" i="4"/>
  <c r="BY159" i="4"/>
  <c r="BY167" i="4"/>
  <c r="BY174" i="4"/>
  <c r="BY143" i="4"/>
  <c r="BY146" i="4"/>
  <c r="BY154" i="4"/>
  <c r="BY162" i="4"/>
  <c r="BY177" i="4"/>
  <c r="BY157" i="4"/>
  <c r="BY181" i="4"/>
  <c r="BY188" i="4"/>
  <c r="BY195" i="4"/>
  <c r="BY203" i="4"/>
  <c r="BY209" i="4"/>
  <c r="BY184" i="4"/>
  <c r="BY192" i="4"/>
  <c r="BY198" i="4"/>
  <c r="BY165" i="4"/>
  <c r="BY179" i="4"/>
  <c r="BY201" i="4"/>
  <c r="BY182" i="4"/>
  <c r="BY190" i="4"/>
  <c r="BY196" i="4"/>
  <c r="BY172" i="4"/>
  <c r="BY178" i="4"/>
  <c r="BY185" i="4"/>
  <c r="BY193" i="4"/>
  <c r="BY199" i="4"/>
  <c r="BY149" i="4"/>
  <c r="BY176" i="4"/>
  <c r="BY183" i="4"/>
  <c r="BY191" i="4"/>
  <c r="BY197" i="4"/>
  <c r="BY204" i="4"/>
  <c r="BY186" i="4"/>
  <c r="BY194" i="4"/>
  <c r="BY200" i="4"/>
  <c r="BY206" i="4"/>
  <c r="BY187" i="4"/>
  <c r="BY210" i="4"/>
  <c r="BY180" i="4"/>
  <c r="BY202" i="4"/>
  <c r="BY205" i="4"/>
  <c r="BY208" i="4"/>
  <c r="D116" i="17"/>
  <c r="D115" i="17"/>
  <c r="F31" i="1" l="1"/>
  <c r="AE226" i="4"/>
  <c r="E34" i="6"/>
  <c r="AF212" i="4"/>
  <c r="AF214" i="4" s="1"/>
  <c r="BY5" i="4"/>
  <c r="BZ13" i="4"/>
  <c r="BZ21" i="4"/>
  <c r="BZ8" i="4"/>
  <c r="BZ16" i="4"/>
  <c r="BZ24" i="4"/>
  <c r="BZ11" i="4"/>
  <c r="BZ19" i="4"/>
  <c r="BZ6" i="4"/>
  <c r="BZ14" i="4"/>
  <c r="BZ22" i="4"/>
  <c r="BZ9" i="4"/>
  <c r="BZ17" i="4"/>
  <c r="BZ7" i="4"/>
  <c r="BZ15" i="4"/>
  <c r="BZ23" i="4"/>
  <c r="BZ10" i="4"/>
  <c r="BZ18" i="4"/>
  <c r="BZ27" i="4"/>
  <c r="BZ35" i="4"/>
  <c r="BZ30" i="4"/>
  <c r="BZ39" i="4"/>
  <c r="BZ12" i="4"/>
  <c r="BZ33" i="4"/>
  <c r="BZ42" i="4"/>
  <c r="BZ28" i="4"/>
  <c r="BZ36" i="4"/>
  <c r="BZ20" i="4"/>
  <c r="BZ25" i="4"/>
  <c r="BZ31" i="4"/>
  <c r="BZ40" i="4"/>
  <c r="BZ29" i="4"/>
  <c r="BZ37" i="4"/>
  <c r="BZ32" i="4"/>
  <c r="BZ41" i="4"/>
  <c r="BZ43" i="4"/>
  <c r="BZ46" i="4"/>
  <c r="BZ54" i="4"/>
  <c r="BZ49" i="4"/>
  <c r="BZ44" i="4"/>
  <c r="BZ52" i="4"/>
  <c r="BZ26" i="4"/>
  <c r="BZ47" i="4"/>
  <c r="BZ55" i="4"/>
  <c r="BZ50" i="4"/>
  <c r="BZ57" i="4"/>
  <c r="BZ34" i="4"/>
  <c r="BZ45" i="4"/>
  <c r="BZ53" i="4"/>
  <c r="BZ48" i="4"/>
  <c r="BZ56" i="4"/>
  <c r="BZ61" i="4"/>
  <c r="BZ69" i="4"/>
  <c r="BZ51" i="4"/>
  <c r="BZ64" i="4"/>
  <c r="BZ72" i="4"/>
  <c r="BZ60" i="4"/>
  <c r="BZ67" i="4"/>
  <c r="BZ75" i="4"/>
  <c r="BZ62" i="4"/>
  <c r="BZ70" i="4"/>
  <c r="BZ65" i="4"/>
  <c r="BZ73" i="4"/>
  <c r="BZ58" i="4"/>
  <c r="BZ59" i="4"/>
  <c r="BZ66" i="4"/>
  <c r="BZ74" i="4"/>
  <c r="BZ68" i="4"/>
  <c r="BZ76" i="4"/>
  <c r="BZ84" i="4"/>
  <c r="BZ79" i="4"/>
  <c r="BZ87" i="4"/>
  <c r="BZ63" i="4"/>
  <c r="BZ82" i="4"/>
  <c r="BZ77" i="4"/>
  <c r="BZ85" i="4"/>
  <c r="BZ80" i="4"/>
  <c r="BZ83" i="4"/>
  <c r="BZ71" i="4"/>
  <c r="BZ78" i="4"/>
  <c r="BZ86" i="4"/>
  <c r="BZ88" i="4"/>
  <c r="BZ92" i="4"/>
  <c r="BZ100" i="4"/>
  <c r="BZ89" i="4"/>
  <c r="BZ95" i="4"/>
  <c r="BZ103" i="4"/>
  <c r="BZ90" i="4"/>
  <c r="BZ98" i="4"/>
  <c r="BZ106" i="4"/>
  <c r="BZ81" i="4"/>
  <c r="BZ93" i="4"/>
  <c r="BZ101" i="4"/>
  <c r="BZ96" i="4"/>
  <c r="BZ104" i="4"/>
  <c r="BZ94" i="4"/>
  <c r="BZ102" i="4"/>
  <c r="BZ97" i="4"/>
  <c r="BZ105" i="4"/>
  <c r="BZ109" i="4"/>
  <c r="BZ117" i="4"/>
  <c r="BZ125" i="4"/>
  <c r="BZ112" i="4"/>
  <c r="BZ120" i="4"/>
  <c r="BZ115" i="4"/>
  <c r="BZ123" i="4"/>
  <c r="BZ91" i="4"/>
  <c r="BZ110" i="4"/>
  <c r="BZ118" i="4"/>
  <c r="BZ107" i="4"/>
  <c r="BZ113" i="4"/>
  <c r="BZ121" i="4"/>
  <c r="BZ111" i="4"/>
  <c r="BZ119" i="4"/>
  <c r="BZ114" i="4"/>
  <c r="BZ122" i="4"/>
  <c r="BZ136" i="4"/>
  <c r="BZ144" i="4"/>
  <c r="BZ108" i="4"/>
  <c r="BZ124" i="4"/>
  <c r="BZ139" i="4"/>
  <c r="BZ128" i="4"/>
  <c r="BZ142" i="4"/>
  <c r="BZ116" i="4"/>
  <c r="BZ130" i="4"/>
  <c r="BZ137" i="4"/>
  <c r="BZ133" i="4"/>
  <c r="BZ140" i="4"/>
  <c r="BZ99" i="4"/>
  <c r="BZ126" i="4"/>
  <c r="BZ131" i="4"/>
  <c r="BZ138" i="4"/>
  <c r="BZ127" i="4"/>
  <c r="BZ134" i="4"/>
  <c r="BZ141" i="4"/>
  <c r="BZ149" i="4"/>
  <c r="BZ157" i="4"/>
  <c r="BZ165" i="4"/>
  <c r="BZ172" i="4"/>
  <c r="BZ129" i="4"/>
  <c r="BZ152" i="4"/>
  <c r="BZ160" i="4"/>
  <c r="BZ168" i="4"/>
  <c r="BZ147" i="4"/>
  <c r="BZ155" i="4"/>
  <c r="BZ163" i="4"/>
  <c r="BZ170" i="4"/>
  <c r="BZ135" i="4"/>
  <c r="BZ150" i="4"/>
  <c r="BZ158" i="4"/>
  <c r="BZ166" i="4"/>
  <c r="BZ173" i="4"/>
  <c r="BZ145" i="4"/>
  <c r="BZ153" i="4"/>
  <c r="BZ161" i="4"/>
  <c r="BZ169" i="4"/>
  <c r="BZ148" i="4"/>
  <c r="BZ156" i="4"/>
  <c r="BZ164" i="4"/>
  <c r="BZ171" i="4"/>
  <c r="BZ151" i="4"/>
  <c r="BZ159" i="4"/>
  <c r="BZ167" i="4"/>
  <c r="BZ174" i="4"/>
  <c r="BZ143" i="4"/>
  <c r="BZ154" i="4"/>
  <c r="BZ186" i="4"/>
  <c r="BZ194" i="4"/>
  <c r="BZ200" i="4"/>
  <c r="BZ206" i="4"/>
  <c r="BZ175" i="4"/>
  <c r="BZ181" i="4"/>
  <c r="BZ188" i="4"/>
  <c r="BZ195" i="4"/>
  <c r="BZ203" i="4"/>
  <c r="BZ162" i="4"/>
  <c r="BZ184" i="4"/>
  <c r="BZ192" i="4"/>
  <c r="BZ198" i="4"/>
  <c r="BZ179" i="4"/>
  <c r="BZ201" i="4"/>
  <c r="BZ177" i="4"/>
  <c r="BZ182" i="4"/>
  <c r="BZ190" i="4"/>
  <c r="BZ196" i="4"/>
  <c r="BZ146" i="4"/>
  <c r="BZ180" i="4"/>
  <c r="BZ187" i="4"/>
  <c r="BZ202" i="4"/>
  <c r="BZ208" i="4"/>
  <c r="BZ176" i="4"/>
  <c r="BZ183" i="4"/>
  <c r="BZ191" i="4"/>
  <c r="BZ197" i="4"/>
  <c r="BZ204" i="4"/>
  <c r="BZ205" i="4"/>
  <c r="BZ185" i="4"/>
  <c r="BZ178" i="4"/>
  <c r="BZ209" i="4"/>
  <c r="BZ210" i="4"/>
  <c r="BZ193" i="4"/>
  <c r="BZ199" i="4"/>
  <c r="AF1" i="4"/>
  <c r="C93" i="17" s="1"/>
  <c r="D90" i="17"/>
  <c r="D91" i="17"/>
  <c r="D89" i="17"/>
  <c r="F32" i="1" l="1"/>
  <c r="BY212" i="4"/>
  <c r="BY226" i="4" s="1"/>
  <c r="AG212" i="4"/>
  <c r="AG214" i="4" s="1"/>
  <c r="BZ5" i="4"/>
  <c r="BZ212" i="4" s="1"/>
  <c r="BZ226" i="4" s="1"/>
  <c r="CA10" i="4"/>
  <c r="CA18" i="4"/>
  <c r="CA13" i="4"/>
  <c r="CA21" i="4"/>
  <c r="CA8" i="4"/>
  <c r="CA16" i="4"/>
  <c r="CA24" i="4"/>
  <c r="CA11" i="4"/>
  <c r="CA19" i="4"/>
  <c r="CA6" i="4"/>
  <c r="CA14" i="4"/>
  <c r="CA22" i="4"/>
  <c r="CA12" i="4"/>
  <c r="CA20" i="4"/>
  <c r="CA7" i="4"/>
  <c r="CA15" i="4"/>
  <c r="CA23" i="4"/>
  <c r="CA32" i="4"/>
  <c r="CA41" i="4"/>
  <c r="CA27" i="4"/>
  <c r="CA35" i="4"/>
  <c r="CA9" i="4"/>
  <c r="CA30" i="4"/>
  <c r="CA39" i="4"/>
  <c r="CA33" i="4"/>
  <c r="CA17" i="4"/>
  <c r="CA28" i="4"/>
  <c r="CA36" i="4"/>
  <c r="CA26" i="4"/>
  <c r="CA34" i="4"/>
  <c r="CA43" i="4"/>
  <c r="CA29" i="4"/>
  <c r="CA37" i="4"/>
  <c r="CA51" i="4"/>
  <c r="CA58" i="4"/>
  <c r="CA46" i="4"/>
  <c r="CA54" i="4"/>
  <c r="CA49" i="4"/>
  <c r="CA42" i="4"/>
  <c r="CA44" i="4"/>
  <c r="CA52" i="4"/>
  <c r="CA47" i="4"/>
  <c r="CA55" i="4"/>
  <c r="CA31" i="4"/>
  <c r="CA50" i="4"/>
  <c r="CA57" i="4"/>
  <c r="CA25" i="4"/>
  <c r="CA45" i="4"/>
  <c r="CA53" i="4"/>
  <c r="CA40" i="4"/>
  <c r="CA59" i="4"/>
  <c r="CA66" i="4"/>
  <c r="CA74" i="4"/>
  <c r="CA48" i="4"/>
  <c r="CA61" i="4"/>
  <c r="CA69" i="4"/>
  <c r="CA64" i="4"/>
  <c r="CA72" i="4"/>
  <c r="CA56" i="4"/>
  <c r="CA60" i="4"/>
  <c r="CA67" i="4"/>
  <c r="CA62" i="4"/>
  <c r="CA70" i="4"/>
  <c r="CA63" i="4"/>
  <c r="CA71" i="4"/>
  <c r="CA75" i="4"/>
  <c r="CA81" i="4"/>
  <c r="CA89" i="4"/>
  <c r="CA68" i="4"/>
  <c r="CA76" i="4"/>
  <c r="CA84" i="4"/>
  <c r="CA79" i="4"/>
  <c r="CA87" i="4"/>
  <c r="CA82" i="4"/>
  <c r="CA65" i="4"/>
  <c r="CA77" i="4"/>
  <c r="CA85" i="4"/>
  <c r="CA80" i="4"/>
  <c r="CA88" i="4"/>
  <c r="CA73" i="4"/>
  <c r="CA83" i="4"/>
  <c r="CA97" i="4"/>
  <c r="CA105" i="4"/>
  <c r="CA92" i="4"/>
  <c r="CA100" i="4"/>
  <c r="CA95" i="4"/>
  <c r="CA103" i="4"/>
  <c r="CA78" i="4"/>
  <c r="CA90" i="4"/>
  <c r="CA98" i="4"/>
  <c r="CA93" i="4"/>
  <c r="CA101" i="4"/>
  <c r="CA91" i="4"/>
  <c r="CA99" i="4"/>
  <c r="CA107" i="4"/>
  <c r="CA94" i="4"/>
  <c r="CA102" i="4"/>
  <c r="CA114" i="4"/>
  <c r="CA122" i="4"/>
  <c r="CA109" i="4"/>
  <c r="CA117" i="4"/>
  <c r="CA86" i="4"/>
  <c r="CA112" i="4"/>
  <c r="CA120" i="4"/>
  <c r="CA106" i="4"/>
  <c r="CA115" i="4"/>
  <c r="CA123" i="4"/>
  <c r="CA110" i="4"/>
  <c r="CA118" i="4"/>
  <c r="CA108" i="4"/>
  <c r="CA116" i="4"/>
  <c r="CA124" i="4"/>
  <c r="CA104" i="4"/>
  <c r="CA111" i="4"/>
  <c r="CA119" i="4"/>
  <c r="CA127" i="4"/>
  <c r="CA134" i="4"/>
  <c r="CA141" i="4"/>
  <c r="CA96" i="4"/>
  <c r="CA136" i="4"/>
  <c r="CA139" i="4"/>
  <c r="CA113" i="4"/>
  <c r="CA128" i="4"/>
  <c r="CA130" i="4"/>
  <c r="CA137" i="4"/>
  <c r="CA125" i="4"/>
  <c r="CA129" i="4"/>
  <c r="CA135" i="4"/>
  <c r="CA143" i="4"/>
  <c r="CA126" i="4"/>
  <c r="CA131" i="4"/>
  <c r="CA138" i="4"/>
  <c r="CA146" i="4"/>
  <c r="CA154" i="4"/>
  <c r="CA162" i="4"/>
  <c r="CA149" i="4"/>
  <c r="CA157" i="4"/>
  <c r="CA165" i="4"/>
  <c r="CA172" i="4"/>
  <c r="CA152" i="4"/>
  <c r="CA160" i="4"/>
  <c r="CA168" i="4"/>
  <c r="CA175" i="4"/>
  <c r="CA133" i="4"/>
  <c r="CA147" i="4"/>
  <c r="CA155" i="4"/>
  <c r="CA163" i="4"/>
  <c r="CA170" i="4"/>
  <c r="CA150" i="4"/>
  <c r="CA158" i="4"/>
  <c r="CA166" i="4"/>
  <c r="CA173" i="4"/>
  <c r="CA121" i="4"/>
  <c r="CA140" i="4"/>
  <c r="CA144" i="4"/>
  <c r="CA145" i="4"/>
  <c r="CA153" i="4"/>
  <c r="CA161" i="4"/>
  <c r="CA169" i="4"/>
  <c r="CA176" i="4"/>
  <c r="CA142" i="4"/>
  <c r="CA148" i="4"/>
  <c r="CA156" i="4"/>
  <c r="CA164" i="4"/>
  <c r="CA171" i="4"/>
  <c r="CA151" i="4"/>
  <c r="CA183" i="4"/>
  <c r="CA191" i="4"/>
  <c r="CA197" i="4"/>
  <c r="CA204" i="4"/>
  <c r="CA186" i="4"/>
  <c r="CA194" i="4"/>
  <c r="CA200" i="4"/>
  <c r="CA206" i="4"/>
  <c r="CA159" i="4"/>
  <c r="CA181" i="4"/>
  <c r="CA188" i="4"/>
  <c r="CA195" i="4"/>
  <c r="CA203" i="4"/>
  <c r="CA209" i="4"/>
  <c r="CA184" i="4"/>
  <c r="CA192" i="4"/>
  <c r="CA198" i="4"/>
  <c r="CA167" i="4"/>
  <c r="CA179" i="4"/>
  <c r="CA201" i="4"/>
  <c r="CA174" i="4"/>
  <c r="CA178" i="4"/>
  <c r="CA185" i="4"/>
  <c r="CA193" i="4"/>
  <c r="CA199" i="4"/>
  <c r="CA205" i="4"/>
  <c r="CA180" i="4"/>
  <c r="CA187" i="4"/>
  <c r="CA202" i="4"/>
  <c r="CA208" i="4"/>
  <c r="CA182" i="4"/>
  <c r="CA177" i="4"/>
  <c r="CA210" i="4"/>
  <c r="CA190" i="4"/>
  <c r="CA196" i="4"/>
  <c r="AG1" i="4"/>
  <c r="F33" i="1" s="1"/>
  <c r="AF226" i="4"/>
  <c r="E35" i="6"/>
  <c r="AH1" i="4"/>
  <c r="D92" i="17"/>
  <c r="D94" i="17"/>
  <c r="D93" i="17"/>
  <c r="C96" i="17" l="1"/>
  <c r="D96" i="17" s="1"/>
  <c r="AG226" i="4"/>
  <c r="E36" i="6"/>
  <c r="CB7" i="4"/>
  <c r="CB15" i="4"/>
  <c r="CB23" i="4"/>
  <c r="CB10" i="4"/>
  <c r="CB18" i="4"/>
  <c r="CB13" i="4"/>
  <c r="CB21" i="4"/>
  <c r="CB8" i="4"/>
  <c r="CB16" i="4"/>
  <c r="CB11" i="4"/>
  <c r="CB19" i="4"/>
  <c r="CB9" i="4"/>
  <c r="CB17" i="4"/>
  <c r="CB12" i="4"/>
  <c r="CB20" i="4"/>
  <c r="CB29" i="4"/>
  <c r="CB37" i="4"/>
  <c r="CB24" i="4"/>
  <c r="CB32" i="4"/>
  <c r="CB41" i="4"/>
  <c r="CB27" i="4"/>
  <c r="CB35" i="4"/>
  <c r="CB6" i="4"/>
  <c r="CB30" i="4"/>
  <c r="CB39" i="4"/>
  <c r="CB33" i="4"/>
  <c r="CB25" i="4"/>
  <c r="CB31" i="4"/>
  <c r="CB40" i="4"/>
  <c r="CB22" i="4"/>
  <c r="CB26" i="4"/>
  <c r="CB34" i="4"/>
  <c r="CB36" i="4"/>
  <c r="CB48" i="4"/>
  <c r="CB56" i="4"/>
  <c r="CB43" i="4"/>
  <c r="CB51" i="4"/>
  <c r="CB46" i="4"/>
  <c r="CB54" i="4"/>
  <c r="CB49" i="4"/>
  <c r="CB42" i="4"/>
  <c r="CB44" i="4"/>
  <c r="CB52" i="4"/>
  <c r="CB14" i="4"/>
  <c r="CB47" i="4"/>
  <c r="CB55" i="4"/>
  <c r="CB28" i="4"/>
  <c r="CB50" i="4"/>
  <c r="CB57" i="4"/>
  <c r="CB63" i="4"/>
  <c r="CB71" i="4"/>
  <c r="CB59" i="4"/>
  <c r="CB66" i="4"/>
  <c r="CB45" i="4"/>
  <c r="CB61" i="4"/>
  <c r="CB69" i="4"/>
  <c r="CB64" i="4"/>
  <c r="CB53" i="4"/>
  <c r="CB60" i="4"/>
  <c r="CB67" i="4"/>
  <c r="CB58" i="4"/>
  <c r="CB68" i="4"/>
  <c r="CB62" i="4"/>
  <c r="CB78" i="4"/>
  <c r="CB86" i="4"/>
  <c r="CB75" i="4"/>
  <c r="CB81" i="4"/>
  <c r="CB76" i="4"/>
  <c r="CB84" i="4"/>
  <c r="CB74" i="4"/>
  <c r="CB79" i="4"/>
  <c r="CB70" i="4"/>
  <c r="CB82" i="4"/>
  <c r="CB65" i="4"/>
  <c r="CB77" i="4"/>
  <c r="CB85" i="4"/>
  <c r="CB80" i="4"/>
  <c r="CB88" i="4"/>
  <c r="CB94" i="4"/>
  <c r="CB102" i="4"/>
  <c r="CB87" i="4"/>
  <c r="CB97" i="4"/>
  <c r="CB105" i="4"/>
  <c r="CB89" i="4"/>
  <c r="CB92" i="4"/>
  <c r="CB100" i="4"/>
  <c r="CB72" i="4"/>
  <c r="CB95" i="4"/>
  <c r="CB103" i="4"/>
  <c r="CB90" i="4"/>
  <c r="CB98" i="4"/>
  <c r="CB106" i="4"/>
  <c r="CB73" i="4"/>
  <c r="CB83" i="4"/>
  <c r="CB96" i="4"/>
  <c r="CB104" i="4"/>
  <c r="CB91" i="4"/>
  <c r="CB99" i="4"/>
  <c r="CB107" i="4"/>
  <c r="CB101" i="4"/>
  <c r="CB111" i="4"/>
  <c r="CB119" i="4"/>
  <c r="CB114" i="4"/>
  <c r="CB122" i="4"/>
  <c r="CB109" i="4"/>
  <c r="CB117" i="4"/>
  <c r="CB125" i="4"/>
  <c r="CB112" i="4"/>
  <c r="CB120" i="4"/>
  <c r="CB115" i="4"/>
  <c r="CB123" i="4"/>
  <c r="CB93" i="4"/>
  <c r="CB113" i="4"/>
  <c r="CB121" i="4"/>
  <c r="CB108" i="4"/>
  <c r="CB116" i="4"/>
  <c r="CB124" i="4"/>
  <c r="CB126" i="4"/>
  <c r="CB131" i="4"/>
  <c r="CB138" i="4"/>
  <c r="CB127" i="4"/>
  <c r="CB134" i="4"/>
  <c r="CB141" i="4"/>
  <c r="CB136" i="4"/>
  <c r="CB139" i="4"/>
  <c r="CB110" i="4"/>
  <c r="CB128" i="4"/>
  <c r="CB142" i="4"/>
  <c r="CB118" i="4"/>
  <c r="CB133" i="4"/>
  <c r="CB140" i="4"/>
  <c r="CB129" i="4"/>
  <c r="CB135" i="4"/>
  <c r="CB143" i="4"/>
  <c r="CB151" i="4"/>
  <c r="CB159" i="4"/>
  <c r="CB167" i="4"/>
  <c r="CB174" i="4"/>
  <c r="CB146" i="4"/>
  <c r="CB154" i="4"/>
  <c r="CB162" i="4"/>
  <c r="CB149" i="4"/>
  <c r="CB157" i="4"/>
  <c r="CB165" i="4"/>
  <c r="CB172" i="4"/>
  <c r="CB152" i="4"/>
  <c r="CB160" i="4"/>
  <c r="CB168" i="4"/>
  <c r="CB130" i="4"/>
  <c r="CB147" i="4"/>
  <c r="CB155" i="4"/>
  <c r="CB163" i="4"/>
  <c r="CB170" i="4"/>
  <c r="CB150" i="4"/>
  <c r="CB158" i="4"/>
  <c r="CB166" i="4"/>
  <c r="CB173" i="4"/>
  <c r="CB137" i="4"/>
  <c r="CB144" i="4"/>
  <c r="CB145" i="4"/>
  <c r="CB153" i="4"/>
  <c r="CB161" i="4"/>
  <c r="CB169" i="4"/>
  <c r="CB176" i="4"/>
  <c r="CB180" i="4"/>
  <c r="CB187" i="4"/>
  <c r="CB202" i="4"/>
  <c r="CB208" i="4"/>
  <c r="CB148" i="4"/>
  <c r="CB183" i="4"/>
  <c r="CB191" i="4"/>
  <c r="CB197" i="4"/>
  <c r="CB204" i="4"/>
  <c r="CB175" i="4"/>
  <c r="CB186" i="4"/>
  <c r="CB194" i="4"/>
  <c r="CB200" i="4"/>
  <c r="CB206" i="4"/>
  <c r="CB156" i="4"/>
  <c r="CB181" i="4"/>
  <c r="CB188" i="4"/>
  <c r="CB195" i="4"/>
  <c r="CB203" i="4"/>
  <c r="CB184" i="4"/>
  <c r="CB192" i="4"/>
  <c r="CB198" i="4"/>
  <c r="CB177" i="4"/>
  <c r="CB182" i="4"/>
  <c r="CB190" i="4"/>
  <c r="CB196" i="4"/>
  <c r="CB171" i="4"/>
  <c r="CB178" i="4"/>
  <c r="CB185" i="4"/>
  <c r="CB193" i="4"/>
  <c r="CB199" i="4"/>
  <c r="CB205" i="4"/>
  <c r="CB210" i="4"/>
  <c r="CB164" i="4"/>
  <c r="CB209" i="4"/>
  <c r="CB201" i="4"/>
  <c r="CB179" i="4"/>
  <c r="AI1" i="4"/>
  <c r="AH212" i="4"/>
  <c r="CA5" i="4"/>
  <c r="CA212" i="4" s="1"/>
  <c r="CA226" i="4" s="1"/>
  <c r="C99" i="17"/>
  <c r="F34" i="1"/>
  <c r="AK1" i="4" l="1"/>
  <c r="D95" i="17"/>
  <c r="D97" i="17"/>
  <c r="CC12" i="4"/>
  <c r="CC20" i="4"/>
  <c r="CC7" i="4"/>
  <c r="CC15" i="4"/>
  <c r="CC23" i="4"/>
  <c r="CC10" i="4"/>
  <c r="CC18" i="4"/>
  <c r="CC13" i="4"/>
  <c r="CC21" i="4"/>
  <c r="CC8" i="4"/>
  <c r="CC16" i="4"/>
  <c r="CC24" i="4"/>
  <c r="CC6" i="4"/>
  <c r="CC14" i="4"/>
  <c r="CC22" i="4"/>
  <c r="CC9" i="4"/>
  <c r="CC17" i="4"/>
  <c r="CC25" i="4"/>
  <c r="CC26" i="4"/>
  <c r="CC34" i="4"/>
  <c r="CC29" i="4"/>
  <c r="CC37" i="4"/>
  <c r="CC32" i="4"/>
  <c r="CC41" i="4"/>
  <c r="CC27" i="4"/>
  <c r="CC35" i="4"/>
  <c r="CC30" i="4"/>
  <c r="CC39" i="4"/>
  <c r="CC28" i="4"/>
  <c r="CC36" i="4"/>
  <c r="CC19" i="4"/>
  <c r="CC31" i="4"/>
  <c r="CC40" i="4"/>
  <c r="CC11" i="4"/>
  <c r="CC33" i="4"/>
  <c r="CC45" i="4"/>
  <c r="CC53" i="4"/>
  <c r="CC48" i="4"/>
  <c r="CC56" i="4"/>
  <c r="CC43" i="4"/>
  <c r="CC51" i="4"/>
  <c r="CC58" i="4"/>
  <c r="CC46" i="4"/>
  <c r="CC54" i="4"/>
  <c r="CC49" i="4"/>
  <c r="CC42" i="4"/>
  <c r="CC44" i="4"/>
  <c r="CC52" i="4"/>
  <c r="CC47" i="4"/>
  <c r="CC55" i="4"/>
  <c r="CC68" i="4"/>
  <c r="CC63" i="4"/>
  <c r="CC71" i="4"/>
  <c r="CC59" i="4"/>
  <c r="CC66" i="4"/>
  <c r="CC74" i="4"/>
  <c r="CC61" i="4"/>
  <c r="CC69" i="4"/>
  <c r="CC50" i="4"/>
  <c r="CC64" i="4"/>
  <c r="CC72" i="4"/>
  <c r="CC57" i="4"/>
  <c r="CC65" i="4"/>
  <c r="CC73" i="4"/>
  <c r="CC83" i="4"/>
  <c r="CC62" i="4"/>
  <c r="CC78" i="4"/>
  <c r="CC86" i="4"/>
  <c r="CC75" i="4"/>
  <c r="CC81" i="4"/>
  <c r="CC89" i="4"/>
  <c r="CC60" i="4"/>
  <c r="CC76" i="4"/>
  <c r="CC84" i="4"/>
  <c r="CC79" i="4"/>
  <c r="CC70" i="4"/>
  <c r="CC82" i="4"/>
  <c r="CC77" i="4"/>
  <c r="CC85" i="4"/>
  <c r="CC91" i="4"/>
  <c r="CC99" i="4"/>
  <c r="CC107" i="4"/>
  <c r="CC67" i="4"/>
  <c r="CC88" i="4"/>
  <c r="CC94" i="4"/>
  <c r="CC102" i="4"/>
  <c r="CC87" i="4"/>
  <c r="CC97" i="4"/>
  <c r="CC105" i="4"/>
  <c r="CC92" i="4"/>
  <c r="CC100" i="4"/>
  <c r="CC95" i="4"/>
  <c r="CC103" i="4"/>
  <c r="CC80" i="4"/>
  <c r="CC93" i="4"/>
  <c r="CC101" i="4"/>
  <c r="CC96" i="4"/>
  <c r="CC104" i="4"/>
  <c r="CC98" i="4"/>
  <c r="CC108" i="4"/>
  <c r="CC116" i="4"/>
  <c r="CC124" i="4"/>
  <c r="CC111" i="4"/>
  <c r="CC119" i="4"/>
  <c r="CC114" i="4"/>
  <c r="CC122" i="4"/>
  <c r="CC109" i="4"/>
  <c r="CC117" i="4"/>
  <c r="CC106" i="4"/>
  <c r="CC112" i="4"/>
  <c r="CC120" i="4"/>
  <c r="CC90" i="4"/>
  <c r="CC110" i="4"/>
  <c r="CC118" i="4"/>
  <c r="CC126" i="4"/>
  <c r="CC113" i="4"/>
  <c r="CC121" i="4"/>
  <c r="CC123" i="4"/>
  <c r="CC129" i="4"/>
  <c r="CC135" i="4"/>
  <c r="CC143" i="4"/>
  <c r="CC131" i="4"/>
  <c r="CC138" i="4"/>
  <c r="CC127" i="4"/>
  <c r="CC134" i="4"/>
  <c r="CC141" i="4"/>
  <c r="CC136" i="4"/>
  <c r="CC139" i="4"/>
  <c r="CC115" i="4"/>
  <c r="CC130" i="4"/>
  <c r="CC137" i="4"/>
  <c r="CC125" i="4"/>
  <c r="CC133" i="4"/>
  <c r="CC140" i="4"/>
  <c r="CC148" i="4"/>
  <c r="CC156" i="4"/>
  <c r="CC164" i="4"/>
  <c r="CC171" i="4"/>
  <c r="CC151" i="4"/>
  <c r="CC159" i="4"/>
  <c r="CC167" i="4"/>
  <c r="CC174" i="4"/>
  <c r="CC146" i="4"/>
  <c r="CC154" i="4"/>
  <c r="CC162" i="4"/>
  <c r="CC177" i="4"/>
  <c r="CC149" i="4"/>
  <c r="CC157" i="4"/>
  <c r="CC165" i="4"/>
  <c r="CC172" i="4"/>
  <c r="CC128" i="4"/>
  <c r="CC152" i="4"/>
  <c r="CC160" i="4"/>
  <c r="CC168" i="4"/>
  <c r="CC147" i="4"/>
  <c r="CC155" i="4"/>
  <c r="CC163" i="4"/>
  <c r="CC170" i="4"/>
  <c r="CC178" i="4"/>
  <c r="CC150" i="4"/>
  <c r="CC158" i="4"/>
  <c r="CC166" i="4"/>
  <c r="CC173" i="4"/>
  <c r="CC176" i="4"/>
  <c r="CC185" i="4"/>
  <c r="CC193" i="4"/>
  <c r="CC199" i="4"/>
  <c r="CC205" i="4"/>
  <c r="CC145" i="4"/>
  <c r="CC180" i="4"/>
  <c r="CC187" i="4"/>
  <c r="CC202" i="4"/>
  <c r="CC183" i="4"/>
  <c r="CC191" i="4"/>
  <c r="CC197" i="4"/>
  <c r="CC204" i="4"/>
  <c r="CC153" i="4"/>
  <c r="CC175" i="4"/>
  <c r="CC186" i="4"/>
  <c r="CC194" i="4"/>
  <c r="CC200" i="4"/>
  <c r="CC144" i="4"/>
  <c r="CC181" i="4"/>
  <c r="CC188" i="4"/>
  <c r="CC195" i="4"/>
  <c r="CC203" i="4"/>
  <c r="CC179" i="4"/>
  <c r="CC201" i="4"/>
  <c r="CC169" i="4"/>
  <c r="CC182" i="4"/>
  <c r="CC190" i="4"/>
  <c r="CC196" i="4"/>
  <c r="CC161" i="4"/>
  <c r="CC184" i="4"/>
  <c r="CC210" i="4"/>
  <c r="CC192" i="4"/>
  <c r="CC198" i="4"/>
  <c r="CC142" i="4"/>
  <c r="CC206" i="4"/>
  <c r="CC208" i="4"/>
  <c r="CC209" i="4"/>
  <c r="AH226" i="4"/>
  <c r="E37" i="6"/>
  <c r="AI212" i="4"/>
  <c r="CB5" i="4"/>
  <c r="CB212" i="4" s="1"/>
  <c r="CB226" i="4" s="1"/>
  <c r="C44" i="17"/>
  <c r="F35" i="1"/>
  <c r="D98" i="17"/>
  <c r="D100" i="17"/>
  <c r="D99" i="17"/>
  <c r="AJ1" i="4"/>
  <c r="C119" i="17" l="1"/>
  <c r="D119" i="17" s="1"/>
  <c r="AN1" i="4"/>
  <c r="AL1" i="4"/>
  <c r="C121" i="17" s="1"/>
  <c r="D121" i="17" s="1"/>
  <c r="AI226" i="4"/>
  <c r="E38" i="6"/>
  <c r="CD9" i="4"/>
  <c r="CD17" i="4"/>
  <c r="CD25" i="4"/>
  <c r="CD12" i="4"/>
  <c r="CD20" i="4"/>
  <c r="CD7" i="4"/>
  <c r="CD15" i="4"/>
  <c r="CD23" i="4"/>
  <c r="CD10" i="4"/>
  <c r="CD18" i="4"/>
  <c r="CD13" i="4"/>
  <c r="CD21" i="4"/>
  <c r="CD11" i="4"/>
  <c r="CD19" i="4"/>
  <c r="CD6" i="4"/>
  <c r="CD14" i="4"/>
  <c r="CD22" i="4"/>
  <c r="CD31" i="4"/>
  <c r="CD40" i="4"/>
  <c r="CD26" i="4"/>
  <c r="CD34" i="4"/>
  <c r="CD24" i="4"/>
  <c r="CD29" i="4"/>
  <c r="CD37" i="4"/>
  <c r="CD32" i="4"/>
  <c r="CD41" i="4"/>
  <c r="CD27" i="4"/>
  <c r="CD35" i="4"/>
  <c r="CD33" i="4"/>
  <c r="CD42" i="4"/>
  <c r="CD16" i="4"/>
  <c r="CD28" i="4"/>
  <c r="CD36" i="4"/>
  <c r="CD30" i="4"/>
  <c r="CD50" i="4"/>
  <c r="CD57" i="4"/>
  <c r="CD45" i="4"/>
  <c r="CD53" i="4"/>
  <c r="CD39" i="4"/>
  <c r="CD48" i="4"/>
  <c r="CD56" i="4"/>
  <c r="CD8" i="4"/>
  <c r="CD43" i="4"/>
  <c r="CD51" i="4"/>
  <c r="CD46" i="4"/>
  <c r="CD54" i="4"/>
  <c r="CD49" i="4"/>
  <c r="CD44" i="4"/>
  <c r="CD52" i="4"/>
  <c r="CD58" i="4"/>
  <c r="CD65" i="4"/>
  <c r="CD73" i="4"/>
  <c r="CD68" i="4"/>
  <c r="CD63" i="4"/>
  <c r="CD71" i="4"/>
  <c r="CD59" i="4"/>
  <c r="CD66" i="4"/>
  <c r="CD47" i="4"/>
  <c r="CD61" i="4"/>
  <c r="CD69" i="4"/>
  <c r="CD55" i="4"/>
  <c r="CD62" i="4"/>
  <c r="CD70" i="4"/>
  <c r="CD67" i="4"/>
  <c r="CD72" i="4"/>
  <c r="CD80" i="4"/>
  <c r="CD88" i="4"/>
  <c r="CD83" i="4"/>
  <c r="CD78" i="4"/>
  <c r="CD86" i="4"/>
  <c r="CD64" i="4"/>
  <c r="CD75" i="4"/>
  <c r="CD81" i="4"/>
  <c r="CD60" i="4"/>
  <c r="CD74" i="4"/>
  <c r="CD76" i="4"/>
  <c r="CD84" i="4"/>
  <c r="CD79" i="4"/>
  <c r="CD87" i="4"/>
  <c r="CD82" i="4"/>
  <c r="CD85" i="4"/>
  <c r="CD96" i="4"/>
  <c r="CD104" i="4"/>
  <c r="CD91" i="4"/>
  <c r="CD99" i="4"/>
  <c r="CD94" i="4"/>
  <c r="CD102" i="4"/>
  <c r="CD89" i="4"/>
  <c r="CD97" i="4"/>
  <c r="CD92" i="4"/>
  <c r="CD100" i="4"/>
  <c r="CD77" i="4"/>
  <c r="CD90" i="4"/>
  <c r="CD98" i="4"/>
  <c r="CD106" i="4"/>
  <c r="CD93" i="4"/>
  <c r="CD101" i="4"/>
  <c r="CD95" i="4"/>
  <c r="CD105" i="4"/>
  <c r="CD113" i="4"/>
  <c r="CD121" i="4"/>
  <c r="CD108" i="4"/>
  <c r="CD116" i="4"/>
  <c r="CD124" i="4"/>
  <c r="CD103" i="4"/>
  <c r="CD111" i="4"/>
  <c r="CD119" i="4"/>
  <c r="CD114" i="4"/>
  <c r="CD122" i="4"/>
  <c r="CD109" i="4"/>
  <c r="CD117" i="4"/>
  <c r="CD115" i="4"/>
  <c r="CD123" i="4"/>
  <c r="CD110" i="4"/>
  <c r="CD118" i="4"/>
  <c r="CD120" i="4"/>
  <c r="CD125" i="4"/>
  <c r="CD133" i="4"/>
  <c r="CD140" i="4"/>
  <c r="CD126" i="4"/>
  <c r="CD129" i="4"/>
  <c r="CD135" i="4"/>
  <c r="CD131" i="4"/>
  <c r="CD138" i="4"/>
  <c r="CD127" i="4"/>
  <c r="CD134" i="4"/>
  <c r="CD136" i="4"/>
  <c r="CD112" i="4"/>
  <c r="CD128" i="4"/>
  <c r="CD142" i="4"/>
  <c r="CD130" i="4"/>
  <c r="CD137" i="4"/>
  <c r="CD139" i="4"/>
  <c r="CD143" i="4"/>
  <c r="CD144" i="4"/>
  <c r="CD145" i="4"/>
  <c r="CD153" i="4"/>
  <c r="CD161" i="4"/>
  <c r="CD169" i="4"/>
  <c r="CD148" i="4"/>
  <c r="CD156" i="4"/>
  <c r="CD164" i="4"/>
  <c r="CD171" i="4"/>
  <c r="CD151" i="4"/>
  <c r="CD159" i="4"/>
  <c r="CD167" i="4"/>
  <c r="CD174" i="4"/>
  <c r="CD146" i="4"/>
  <c r="CD154" i="4"/>
  <c r="CD162" i="4"/>
  <c r="CD149" i="4"/>
  <c r="CD157" i="4"/>
  <c r="CD165" i="4"/>
  <c r="CD172" i="4"/>
  <c r="CD141" i="4"/>
  <c r="CD152" i="4"/>
  <c r="CD160" i="4"/>
  <c r="CD168" i="4"/>
  <c r="CD175" i="4"/>
  <c r="CD147" i="4"/>
  <c r="CD155" i="4"/>
  <c r="CD163" i="4"/>
  <c r="CD170" i="4"/>
  <c r="CD178" i="4"/>
  <c r="CD182" i="4"/>
  <c r="CD190" i="4"/>
  <c r="CD196" i="4"/>
  <c r="CD173" i="4"/>
  <c r="CD176" i="4"/>
  <c r="CD185" i="4"/>
  <c r="CD193" i="4"/>
  <c r="CD199" i="4"/>
  <c r="CD205" i="4"/>
  <c r="CD180" i="4"/>
  <c r="CD187" i="4"/>
  <c r="CD202" i="4"/>
  <c r="CD208" i="4"/>
  <c r="CD150" i="4"/>
  <c r="CD183" i="4"/>
  <c r="CD191" i="4"/>
  <c r="CD197" i="4"/>
  <c r="CD204" i="4"/>
  <c r="CD186" i="4"/>
  <c r="CD194" i="4"/>
  <c r="CD200" i="4"/>
  <c r="CD107" i="4"/>
  <c r="CD184" i="4"/>
  <c r="CD192" i="4"/>
  <c r="CD198" i="4"/>
  <c r="CD166" i="4"/>
  <c r="CD177" i="4"/>
  <c r="CD179" i="4"/>
  <c r="CD201" i="4"/>
  <c r="CD181" i="4"/>
  <c r="CD188" i="4"/>
  <c r="CD195" i="4"/>
  <c r="CD210" i="4"/>
  <c r="CD158" i="4"/>
  <c r="CD203" i="4"/>
  <c r="CD206" i="4"/>
  <c r="CD209" i="4"/>
  <c r="AJ212" i="4"/>
  <c r="CC5" i="4"/>
  <c r="CC212" i="4" s="1"/>
  <c r="CC226" i="4" s="1"/>
  <c r="F36" i="1"/>
  <c r="C108" i="17"/>
  <c r="D108" i="17" s="1"/>
  <c r="D44" i="17"/>
  <c r="D45" i="17"/>
  <c r="F137" i="1" l="1"/>
  <c r="D29" i="1" s="1"/>
  <c r="F29" i="1" s="1"/>
  <c r="D120" i="17"/>
  <c r="F140" i="1"/>
  <c r="F142" i="1" s="1"/>
  <c r="D30" i="1" s="1"/>
  <c r="F30" i="1" s="1"/>
  <c r="C122" i="17"/>
  <c r="D122" i="17" s="1"/>
  <c r="AR2" i="4"/>
  <c r="CD5" i="4"/>
  <c r="CD212" i="4" s="1"/>
  <c r="CD226" i="4" s="1"/>
  <c r="AJ226" i="4"/>
  <c r="E39" i="6"/>
  <c r="CE6" i="4"/>
  <c r="CH6" i="4" s="1"/>
  <c r="CJ6" i="4" s="1"/>
  <c r="CL6" i="4" s="1"/>
  <c r="CE22" i="4"/>
  <c r="CH22" i="4" s="1"/>
  <c r="CJ22" i="4" s="1"/>
  <c r="CL22" i="4" s="1"/>
  <c r="CE9" i="4"/>
  <c r="CH9" i="4" s="1"/>
  <c r="CJ9" i="4" s="1"/>
  <c r="CL9" i="4" s="1"/>
  <c r="CE17" i="4"/>
  <c r="CH17" i="4" s="1"/>
  <c r="CJ17" i="4" s="1"/>
  <c r="CL17" i="4" s="1"/>
  <c r="CE12" i="4"/>
  <c r="CH12" i="4" s="1"/>
  <c r="CJ12" i="4" s="1"/>
  <c r="CL12" i="4" s="1"/>
  <c r="CE20" i="4"/>
  <c r="CH20" i="4" s="1"/>
  <c r="CJ20" i="4" s="1"/>
  <c r="CL20" i="4" s="1"/>
  <c r="CE7" i="4"/>
  <c r="CH7" i="4" s="1"/>
  <c r="CJ7" i="4" s="1"/>
  <c r="CL7" i="4" s="1"/>
  <c r="CE15" i="4"/>
  <c r="CH15" i="4" s="1"/>
  <c r="CJ15" i="4" s="1"/>
  <c r="CL15" i="4" s="1"/>
  <c r="CE23" i="4"/>
  <c r="CH23" i="4" s="1"/>
  <c r="CJ23" i="4" s="1"/>
  <c r="CL23" i="4" s="1"/>
  <c r="CE10" i="4"/>
  <c r="CH10" i="4" s="1"/>
  <c r="CJ10" i="4" s="1"/>
  <c r="CL10" i="4" s="1"/>
  <c r="CE18" i="4"/>
  <c r="CH18" i="4" s="1"/>
  <c r="CJ18" i="4" s="1"/>
  <c r="CL18" i="4" s="1"/>
  <c r="CE8" i="4"/>
  <c r="CH8" i="4" s="1"/>
  <c r="CJ8" i="4" s="1"/>
  <c r="CL8" i="4" s="1"/>
  <c r="CE16" i="4"/>
  <c r="CH16" i="4" s="1"/>
  <c r="CJ16" i="4" s="1"/>
  <c r="CL16" i="4" s="1"/>
  <c r="CE24" i="4"/>
  <c r="CH24" i="4" s="1"/>
  <c r="CJ24" i="4" s="1"/>
  <c r="CL24" i="4" s="1"/>
  <c r="CE11" i="4"/>
  <c r="CH11" i="4" s="1"/>
  <c r="CJ11" i="4" s="1"/>
  <c r="CL11" i="4" s="1"/>
  <c r="CE19" i="4"/>
  <c r="CH19" i="4" s="1"/>
  <c r="CJ19" i="4" s="1"/>
  <c r="CL19" i="4" s="1"/>
  <c r="CE13" i="4"/>
  <c r="CH13" i="4" s="1"/>
  <c r="CJ13" i="4" s="1"/>
  <c r="CL13" i="4" s="1"/>
  <c r="CE28" i="4"/>
  <c r="CH28" i="4" s="1"/>
  <c r="CJ28" i="4" s="1"/>
  <c r="CL28" i="4" s="1"/>
  <c r="CE36" i="4"/>
  <c r="CH36" i="4" s="1"/>
  <c r="CJ36" i="4" s="1"/>
  <c r="CL36" i="4" s="1"/>
  <c r="CE31" i="4"/>
  <c r="CH31" i="4" s="1"/>
  <c r="CJ31" i="4" s="1"/>
  <c r="CL31" i="4" s="1"/>
  <c r="CE40" i="4"/>
  <c r="CH40" i="4" s="1"/>
  <c r="CJ40" i="4" s="1"/>
  <c r="CL40" i="4" s="1"/>
  <c r="CE26" i="4"/>
  <c r="CH26" i="4" s="1"/>
  <c r="CJ26" i="4" s="1"/>
  <c r="CL26" i="4" s="1"/>
  <c r="CE37" i="4"/>
  <c r="CH37" i="4" s="1"/>
  <c r="CJ37" i="4" s="1"/>
  <c r="CL37" i="4" s="1"/>
  <c r="CE32" i="4"/>
  <c r="CH32" i="4" s="1"/>
  <c r="CJ32" i="4" s="1"/>
  <c r="CL32" i="4" s="1"/>
  <c r="CE30" i="4"/>
  <c r="CH30" i="4" s="1"/>
  <c r="CJ30" i="4" s="1"/>
  <c r="CL30" i="4" s="1"/>
  <c r="CE39" i="4"/>
  <c r="CH39" i="4" s="1"/>
  <c r="CJ39" i="4" s="1"/>
  <c r="CL39" i="4" s="1"/>
  <c r="CE25" i="4"/>
  <c r="CH25" i="4" s="1"/>
  <c r="CJ25" i="4" s="1"/>
  <c r="CL25" i="4" s="1"/>
  <c r="CE42" i="4"/>
  <c r="CH42" i="4" s="1"/>
  <c r="CJ42" i="4" s="1"/>
  <c r="CL42" i="4" s="1"/>
  <c r="CE55" i="4"/>
  <c r="CH55" i="4" s="1"/>
  <c r="CJ55" i="4" s="1"/>
  <c r="CL55" i="4" s="1"/>
  <c r="CE27" i="4"/>
  <c r="CH27" i="4" s="1"/>
  <c r="CJ27" i="4" s="1"/>
  <c r="CL27" i="4" s="1"/>
  <c r="CE50" i="4"/>
  <c r="CH50" i="4" s="1"/>
  <c r="CJ50" i="4" s="1"/>
  <c r="CL50" i="4" s="1"/>
  <c r="CE57" i="4"/>
  <c r="CH57" i="4" s="1"/>
  <c r="CJ57" i="4" s="1"/>
  <c r="CL57" i="4" s="1"/>
  <c r="CE48" i="4"/>
  <c r="CH48" i="4" s="1"/>
  <c r="CJ48" i="4" s="1"/>
  <c r="CL48" i="4" s="1"/>
  <c r="CE56" i="4"/>
  <c r="CH56" i="4" s="1"/>
  <c r="CJ56" i="4" s="1"/>
  <c r="CL56" i="4" s="1"/>
  <c r="CE43" i="4"/>
  <c r="CH43" i="4" s="1"/>
  <c r="CJ43" i="4" s="1"/>
  <c r="CL43" i="4" s="1"/>
  <c r="CE46" i="4"/>
  <c r="CH46" i="4" s="1"/>
  <c r="CJ46" i="4" s="1"/>
  <c r="CL46" i="4" s="1"/>
  <c r="CE54" i="4"/>
  <c r="CH54" i="4" s="1"/>
  <c r="CJ54" i="4" s="1"/>
  <c r="CL54" i="4" s="1"/>
  <c r="CE49" i="4"/>
  <c r="CH49" i="4" s="1"/>
  <c r="CJ49" i="4" s="1"/>
  <c r="CL49" i="4" s="1"/>
  <c r="CE62" i="4"/>
  <c r="CH62" i="4" s="1"/>
  <c r="CJ62" i="4" s="1"/>
  <c r="CL62" i="4" s="1"/>
  <c r="CE70" i="4"/>
  <c r="CH70" i="4" s="1"/>
  <c r="CJ70" i="4" s="1"/>
  <c r="CL70" i="4" s="1"/>
  <c r="CE58" i="4"/>
  <c r="CH58" i="4" s="1"/>
  <c r="CJ58" i="4" s="1"/>
  <c r="CL58" i="4" s="1"/>
  <c r="CE65" i="4"/>
  <c r="CH65" i="4" s="1"/>
  <c r="CJ65" i="4" s="1"/>
  <c r="CL65" i="4" s="1"/>
  <c r="CE68" i="4"/>
  <c r="CH68" i="4" s="1"/>
  <c r="CJ68" i="4" s="1"/>
  <c r="CL68" i="4" s="1"/>
  <c r="CE63" i="4"/>
  <c r="CH63" i="4" s="1"/>
  <c r="CJ63" i="4" s="1"/>
  <c r="CL63" i="4" s="1"/>
  <c r="CE71" i="4"/>
  <c r="CH71" i="4" s="1"/>
  <c r="CJ71" i="4" s="1"/>
  <c r="CL71" i="4" s="1"/>
  <c r="CE59" i="4"/>
  <c r="CH59" i="4" s="1"/>
  <c r="CJ59" i="4" s="1"/>
  <c r="CL59" i="4" s="1"/>
  <c r="CE66" i="4"/>
  <c r="CH66" i="4" s="1"/>
  <c r="CJ66" i="4" s="1"/>
  <c r="CL66" i="4" s="1"/>
  <c r="CE60" i="4"/>
  <c r="CH60" i="4" s="1"/>
  <c r="CJ60" i="4" s="1"/>
  <c r="CL60" i="4" s="1"/>
  <c r="CE67" i="4"/>
  <c r="CH67" i="4" s="1"/>
  <c r="CJ67" i="4" s="1"/>
  <c r="CL67" i="4" s="1"/>
  <c r="CE73" i="4"/>
  <c r="CH73" i="4" s="1"/>
  <c r="CE83" i="4"/>
  <c r="CH83" i="4" s="1"/>
  <c r="CJ83" i="4" s="1"/>
  <c r="CL83" i="4" s="1"/>
  <c r="CE69" i="4"/>
  <c r="CH69" i="4" s="1"/>
  <c r="CJ69" i="4" s="1"/>
  <c r="CL69" i="4" s="1"/>
  <c r="CE86" i="4"/>
  <c r="CH86" i="4" s="1"/>
  <c r="CJ86" i="4" s="1"/>
  <c r="CL86" i="4" s="1"/>
  <c r="CE64" i="4"/>
  <c r="CH64" i="4" s="1"/>
  <c r="CJ64" i="4" s="1"/>
  <c r="CL64" i="4" s="1"/>
  <c r="CE75" i="4"/>
  <c r="CH75" i="4" s="1"/>
  <c r="CJ75" i="4" s="1"/>
  <c r="CL75" i="4" s="1"/>
  <c r="CE81" i="4"/>
  <c r="CH81" i="4" s="1"/>
  <c r="CJ81" i="4" s="1"/>
  <c r="CL81" i="4" s="1"/>
  <c r="CE76" i="4"/>
  <c r="CH76" i="4" s="1"/>
  <c r="CJ76" i="4" s="1"/>
  <c r="CL76" i="4" s="1"/>
  <c r="CE87" i="4"/>
  <c r="CH87" i="4" s="1"/>
  <c r="CJ87" i="4" s="1"/>
  <c r="CL87" i="4" s="1"/>
  <c r="CE93" i="4"/>
  <c r="CH93" i="4" s="1"/>
  <c r="CJ93" i="4" s="1"/>
  <c r="CL93" i="4" s="1"/>
  <c r="CE101" i="4"/>
  <c r="CH101" i="4" s="1"/>
  <c r="CJ101" i="4" s="1"/>
  <c r="CL101" i="4" s="1"/>
  <c r="CE82" i="4"/>
  <c r="CH82" i="4" s="1"/>
  <c r="CJ82" i="4" s="1"/>
  <c r="CL82" i="4" s="1"/>
  <c r="CE96" i="4"/>
  <c r="CH96" i="4" s="1"/>
  <c r="CJ96" i="4" s="1"/>
  <c r="CL96" i="4" s="1"/>
  <c r="CE104" i="4"/>
  <c r="CH104" i="4" s="1"/>
  <c r="CJ104" i="4" s="1"/>
  <c r="CL104" i="4" s="1"/>
  <c r="CE88" i="4"/>
  <c r="CH88" i="4" s="1"/>
  <c r="CJ88" i="4" s="1"/>
  <c r="CL88" i="4" s="1"/>
  <c r="CE91" i="4"/>
  <c r="CH91" i="4" s="1"/>
  <c r="CJ91" i="4" s="1"/>
  <c r="CL91" i="4" s="1"/>
  <c r="CE107" i="4"/>
  <c r="CH107" i="4" s="1"/>
  <c r="CJ107" i="4" s="1"/>
  <c r="CL107" i="4" s="1"/>
  <c r="CE94" i="4"/>
  <c r="CH94" i="4" s="1"/>
  <c r="CJ94" i="4" s="1"/>
  <c r="CL94" i="4" s="1"/>
  <c r="CE61" i="4"/>
  <c r="CH61" i="4" s="1"/>
  <c r="CJ61" i="4" s="1"/>
  <c r="CL61" i="4" s="1"/>
  <c r="CE89" i="4"/>
  <c r="CH89" i="4" s="1"/>
  <c r="CJ89" i="4" s="1"/>
  <c r="CL89" i="4" s="1"/>
  <c r="CE105" i="4"/>
  <c r="CH105" i="4" s="1"/>
  <c r="CJ105" i="4" s="1"/>
  <c r="CL105" i="4" s="1"/>
  <c r="CE95" i="4"/>
  <c r="CH95" i="4" s="1"/>
  <c r="CJ95" i="4" s="1"/>
  <c r="CL95" i="4" s="1"/>
  <c r="CE103" i="4"/>
  <c r="CH103" i="4" s="1"/>
  <c r="CJ103" i="4" s="1"/>
  <c r="CL103" i="4" s="1"/>
  <c r="CE90" i="4"/>
  <c r="CH90" i="4" s="1"/>
  <c r="CJ90" i="4" s="1"/>
  <c r="CL90" i="4" s="1"/>
  <c r="CE106" i="4"/>
  <c r="CH106" i="4" s="1"/>
  <c r="CJ106" i="4" s="1"/>
  <c r="CL106" i="4" s="1"/>
  <c r="CE118" i="4"/>
  <c r="CH118" i="4" s="1"/>
  <c r="CJ118" i="4" s="1"/>
  <c r="CL118" i="4" s="1"/>
  <c r="CE92" i="4"/>
  <c r="CH92" i="4" s="1"/>
  <c r="CJ92" i="4" s="1"/>
  <c r="CL92" i="4" s="1"/>
  <c r="CE113" i="4"/>
  <c r="CH113" i="4" s="1"/>
  <c r="CJ113" i="4" s="1"/>
  <c r="CL113" i="4" s="1"/>
  <c r="CE121" i="4"/>
  <c r="CH121" i="4" s="1"/>
  <c r="CJ121" i="4" s="1"/>
  <c r="CL121" i="4" s="1"/>
  <c r="CE108" i="4"/>
  <c r="CH108" i="4" s="1"/>
  <c r="CJ108" i="4" s="1"/>
  <c r="CL108" i="4" s="1"/>
  <c r="CE116" i="4"/>
  <c r="CH116" i="4" s="1"/>
  <c r="CJ116" i="4" s="1"/>
  <c r="CL116" i="4" s="1"/>
  <c r="CE124" i="4"/>
  <c r="CH124" i="4" s="1"/>
  <c r="CJ124" i="4" s="1"/>
  <c r="CL124" i="4" s="1"/>
  <c r="CE100" i="4"/>
  <c r="CH100" i="4" s="1"/>
  <c r="CE119" i="4"/>
  <c r="CH119" i="4" s="1"/>
  <c r="CJ119" i="4" s="1"/>
  <c r="CL119" i="4" s="1"/>
  <c r="CE122" i="4"/>
  <c r="CH122" i="4" s="1"/>
  <c r="CJ122" i="4" s="1"/>
  <c r="CL122" i="4" s="1"/>
  <c r="CE112" i="4"/>
  <c r="CH112" i="4" s="1"/>
  <c r="CJ112" i="4" s="1"/>
  <c r="CL112" i="4" s="1"/>
  <c r="CE120" i="4"/>
  <c r="CH120" i="4" s="1"/>
  <c r="CJ120" i="4" s="1"/>
  <c r="CL120" i="4" s="1"/>
  <c r="CE115" i="4"/>
  <c r="CH115" i="4" s="1"/>
  <c r="CJ115" i="4" s="1"/>
  <c r="CL115" i="4" s="1"/>
  <c r="CE123" i="4"/>
  <c r="CH123" i="4" s="1"/>
  <c r="CJ123" i="4" s="1"/>
  <c r="CL123" i="4" s="1"/>
  <c r="CE130" i="4"/>
  <c r="CH130" i="4" s="1"/>
  <c r="CJ130" i="4" s="1"/>
  <c r="CL130" i="4" s="1"/>
  <c r="CE137" i="4"/>
  <c r="CH137" i="4" s="1"/>
  <c r="CJ137" i="4" s="1"/>
  <c r="CL137" i="4" s="1"/>
  <c r="CE133" i="4"/>
  <c r="CH133" i="4" s="1"/>
  <c r="CJ133" i="4" s="1"/>
  <c r="CL133" i="4" s="1"/>
  <c r="CE140" i="4"/>
  <c r="CH140" i="4" s="1"/>
  <c r="CJ140" i="4" s="1"/>
  <c r="CL140" i="4" s="1"/>
  <c r="CE129" i="4"/>
  <c r="CH129" i="4" s="1"/>
  <c r="CJ129" i="4" s="1"/>
  <c r="CL129" i="4" s="1"/>
  <c r="CE143" i="4"/>
  <c r="CH143" i="4" s="1"/>
  <c r="CJ143" i="4" s="1"/>
  <c r="CL143" i="4" s="1"/>
  <c r="CE131" i="4"/>
  <c r="CH131" i="4" s="1"/>
  <c r="CJ131" i="4" s="1"/>
  <c r="CL131" i="4" s="1"/>
  <c r="CE138" i="4"/>
  <c r="CH138" i="4" s="1"/>
  <c r="CJ138" i="4" s="1"/>
  <c r="CL138" i="4" s="1"/>
  <c r="CE141" i="4"/>
  <c r="CH141" i="4" s="1"/>
  <c r="CJ141" i="4" s="1"/>
  <c r="CL141" i="4" s="1"/>
  <c r="CE139" i="4"/>
  <c r="CH139" i="4" s="1"/>
  <c r="CJ139" i="4" s="1"/>
  <c r="CL139" i="4" s="1"/>
  <c r="CE109" i="4"/>
  <c r="CH109" i="4" s="1"/>
  <c r="CJ109" i="4" s="1"/>
  <c r="CL109" i="4" s="1"/>
  <c r="CE128" i="4"/>
  <c r="CH128" i="4" s="1"/>
  <c r="CJ128" i="4" s="1"/>
  <c r="CL128" i="4" s="1"/>
  <c r="CE142" i="4"/>
  <c r="CH142" i="4" s="1"/>
  <c r="CJ142" i="4" s="1"/>
  <c r="CL142" i="4" s="1"/>
  <c r="CE150" i="4"/>
  <c r="CH150" i="4" s="1"/>
  <c r="CJ150" i="4" s="1"/>
  <c r="CL150" i="4" s="1"/>
  <c r="CE158" i="4"/>
  <c r="CH158" i="4" s="1"/>
  <c r="CJ158" i="4" s="1"/>
  <c r="CL158" i="4" s="1"/>
  <c r="CE166" i="4"/>
  <c r="CH166" i="4" s="1"/>
  <c r="CJ166" i="4" s="1"/>
  <c r="CL166" i="4" s="1"/>
  <c r="CE144" i="4"/>
  <c r="CH144" i="4" s="1"/>
  <c r="CJ144" i="4" s="1"/>
  <c r="CL144" i="4" s="1"/>
  <c r="CE145" i="4"/>
  <c r="CH145" i="4" s="1"/>
  <c r="CJ145" i="4" s="1"/>
  <c r="CL145" i="4" s="1"/>
  <c r="CE153" i="4"/>
  <c r="CH153" i="4" s="1"/>
  <c r="CJ153" i="4" s="1"/>
  <c r="CL153" i="4" s="1"/>
  <c r="CE161" i="4"/>
  <c r="CH161" i="4" s="1"/>
  <c r="CJ161" i="4" s="1"/>
  <c r="CL161" i="4" s="1"/>
  <c r="CE169" i="4"/>
  <c r="CH169" i="4" s="1"/>
  <c r="CJ169" i="4" s="1"/>
  <c r="CL169" i="4" s="1"/>
  <c r="CE148" i="4"/>
  <c r="CH148" i="4" s="1"/>
  <c r="CJ148" i="4" s="1"/>
  <c r="CL148" i="4" s="1"/>
  <c r="CE156" i="4"/>
  <c r="CH156" i="4" s="1"/>
  <c r="CJ156" i="4" s="1"/>
  <c r="CL156" i="4" s="1"/>
  <c r="CE164" i="4"/>
  <c r="CH164" i="4" s="1"/>
  <c r="CJ164" i="4" s="1"/>
  <c r="CL164" i="4" s="1"/>
  <c r="CE171" i="4"/>
  <c r="CH171" i="4" s="1"/>
  <c r="CJ171" i="4" s="1"/>
  <c r="CL171" i="4" s="1"/>
  <c r="CE151" i="4"/>
  <c r="CH151" i="4" s="1"/>
  <c r="CJ151" i="4" s="1"/>
  <c r="CL151" i="4" s="1"/>
  <c r="CE159" i="4"/>
  <c r="CH159" i="4" s="1"/>
  <c r="CJ159" i="4" s="1"/>
  <c r="CL159" i="4" s="1"/>
  <c r="CE167" i="4"/>
  <c r="CH167" i="4" s="1"/>
  <c r="CJ167" i="4" s="1"/>
  <c r="CL167" i="4" s="1"/>
  <c r="CE174" i="4"/>
  <c r="CH174" i="4" s="1"/>
  <c r="CJ174" i="4" s="1"/>
  <c r="CL174" i="4" s="1"/>
  <c r="CE146" i="4"/>
  <c r="CH146" i="4" s="1"/>
  <c r="CJ146" i="4" s="1"/>
  <c r="CL146" i="4" s="1"/>
  <c r="CE154" i="4"/>
  <c r="CH154" i="4" s="1"/>
  <c r="CJ154" i="4" s="1"/>
  <c r="CL154" i="4" s="1"/>
  <c r="CE162" i="4"/>
  <c r="CH162" i="4" s="1"/>
  <c r="CJ162" i="4" s="1"/>
  <c r="CL162" i="4" s="1"/>
  <c r="CE44" i="4"/>
  <c r="CH44" i="4" s="1"/>
  <c r="CJ44" i="4" s="1"/>
  <c r="CL44" i="4" s="1"/>
  <c r="CE149" i="4"/>
  <c r="CH149" i="4" s="1"/>
  <c r="CJ149" i="4" s="1"/>
  <c r="CL149" i="4" s="1"/>
  <c r="CE157" i="4"/>
  <c r="CH157" i="4" s="1"/>
  <c r="CJ157" i="4" s="1"/>
  <c r="CL157" i="4" s="1"/>
  <c r="CE165" i="4"/>
  <c r="CH165" i="4" s="1"/>
  <c r="CJ165" i="4" s="1"/>
  <c r="CL165" i="4" s="1"/>
  <c r="CE172" i="4"/>
  <c r="CH172" i="4" s="1"/>
  <c r="CJ172" i="4" s="1"/>
  <c r="CL172" i="4" s="1"/>
  <c r="CE152" i="4"/>
  <c r="CH152" i="4" s="1"/>
  <c r="CJ152" i="4" s="1"/>
  <c r="CL152" i="4" s="1"/>
  <c r="CE160" i="4"/>
  <c r="CH160" i="4" s="1"/>
  <c r="CJ160" i="4" s="1"/>
  <c r="CL160" i="4" s="1"/>
  <c r="CE168" i="4"/>
  <c r="CH168" i="4" s="1"/>
  <c r="CJ168" i="4" s="1"/>
  <c r="CL168" i="4" s="1"/>
  <c r="CE178" i="4"/>
  <c r="CH178" i="4" s="1"/>
  <c r="CJ178" i="4" s="1"/>
  <c r="CL178" i="4" s="1"/>
  <c r="CE179" i="4"/>
  <c r="CH179" i="4" s="1"/>
  <c r="CJ179" i="4" s="1"/>
  <c r="CL179" i="4" s="1"/>
  <c r="CE201" i="4"/>
  <c r="CH201" i="4" s="1"/>
  <c r="CJ201" i="4" s="1"/>
  <c r="CL201" i="4" s="1"/>
  <c r="CE190" i="4"/>
  <c r="CH190" i="4" s="1"/>
  <c r="CJ190" i="4" s="1"/>
  <c r="CL190" i="4" s="1"/>
  <c r="CE196" i="4"/>
  <c r="CH196" i="4" s="1"/>
  <c r="CJ196" i="4" s="1"/>
  <c r="CL196" i="4" s="1"/>
  <c r="CE170" i="4"/>
  <c r="CH170" i="4" s="1"/>
  <c r="CJ170" i="4" s="1"/>
  <c r="CL170" i="4" s="1"/>
  <c r="CE176" i="4"/>
  <c r="CH176" i="4" s="1"/>
  <c r="CJ176" i="4" s="1"/>
  <c r="CL176" i="4" s="1"/>
  <c r="CE185" i="4"/>
  <c r="CH185" i="4" s="1"/>
  <c r="CJ185" i="4" s="1"/>
  <c r="CL185" i="4" s="1"/>
  <c r="CE193" i="4"/>
  <c r="CH193" i="4" s="1"/>
  <c r="CJ193" i="4" s="1"/>
  <c r="CL193" i="4" s="1"/>
  <c r="CE199" i="4"/>
  <c r="CH199" i="4" s="1"/>
  <c r="CJ199" i="4" s="1"/>
  <c r="CL199" i="4" s="1"/>
  <c r="CE180" i="4"/>
  <c r="CH180" i="4" s="1"/>
  <c r="CJ180" i="4" s="1"/>
  <c r="CL180" i="4" s="1"/>
  <c r="CE187" i="4"/>
  <c r="CH187" i="4" s="1"/>
  <c r="CJ187" i="4" s="1"/>
  <c r="CL187" i="4" s="1"/>
  <c r="CE202" i="4"/>
  <c r="CH202" i="4" s="1"/>
  <c r="CJ202" i="4" s="1"/>
  <c r="CL202" i="4" s="1"/>
  <c r="CE147" i="4"/>
  <c r="CH147" i="4" s="1"/>
  <c r="CJ147" i="4" s="1"/>
  <c r="CL147" i="4" s="1"/>
  <c r="CE191" i="4"/>
  <c r="CH191" i="4" s="1"/>
  <c r="CJ191" i="4" s="1"/>
  <c r="CL191" i="4" s="1"/>
  <c r="CE197" i="4"/>
  <c r="CH197" i="4" s="1"/>
  <c r="CJ197" i="4" s="1"/>
  <c r="CL197" i="4" s="1"/>
  <c r="CE204" i="4"/>
  <c r="CH204" i="4" s="1"/>
  <c r="CJ204" i="4" s="1"/>
  <c r="CL204" i="4" s="1"/>
  <c r="CE155" i="4"/>
  <c r="CH155" i="4" s="1"/>
  <c r="CJ155" i="4" s="1"/>
  <c r="CL155" i="4" s="1"/>
  <c r="CE188" i="4"/>
  <c r="CH188" i="4" s="1"/>
  <c r="CJ188" i="4" s="1"/>
  <c r="CL188" i="4" s="1"/>
  <c r="CE195" i="4"/>
  <c r="CH195" i="4" s="1"/>
  <c r="CJ195" i="4" s="1"/>
  <c r="CL195" i="4" s="1"/>
  <c r="CE203" i="4"/>
  <c r="CH203" i="4" s="1"/>
  <c r="CJ203" i="4" s="1"/>
  <c r="CL203" i="4" s="1"/>
  <c r="CE192" i="4"/>
  <c r="CH192" i="4" s="1"/>
  <c r="CJ192" i="4" s="1"/>
  <c r="CL192" i="4" s="1"/>
  <c r="CE198" i="4"/>
  <c r="CH198" i="4" s="1"/>
  <c r="CE200" i="4"/>
  <c r="CH200" i="4" s="1"/>
  <c r="CJ200" i="4" s="1"/>
  <c r="CL200" i="4" s="1"/>
  <c r="CE186" i="4"/>
  <c r="CH186" i="4" s="1"/>
  <c r="CJ186" i="4" s="1"/>
  <c r="CL186" i="4" s="1"/>
  <c r="CE194" i="4"/>
  <c r="CH194" i="4" s="1"/>
  <c r="CJ194" i="4" s="1"/>
  <c r="CL194" i="4" s="1"/>
  <c r="AR1" i="4"/>
  <c r="AQ1" i="4"/>
  <c r="C35" i="17" s="1"/>
  <c r="AS2" i="4"/>
  <c r="CM200" i="4" l="1"/>
  <c r="CN200" i="4" s="1"/>
  <c r="CQ200" i="4"/>
  <c r="CM168" i="4"/>
  <c r="CN168" i="4" s="1"/>
  <c r="CM162" i="4"/>
  <c r="CN162" i="4" s="1"/>
  <c r="CM164" i="4"/>
  <c r="CN164" i="4" s="1"/>
  <c r="CO164" i="4" s="1"/>
  <c r="CQ164" i="4"/>
  <c r="CM166" i="4"/>
  <c r="CN166" i="4" s="1"/>
  <c r="CO166" i="4" s="1"/>
  <c r="CM138" i="4"/>
  <c r="CN138" i="4" s="1"/>
  <c r="CO138" i="4" s="1"/>
  <c r="CM123" i="4"/>
  <c r="CN123" i="4" s="1"/>
  <c r="CM116" i="4"/>
  <c r="CN116" i="4" s="1"/>
  <c r="CM103" i="4"/>
  <c r="CN103" i="4" s="1"/>
  <c r="CM88" i="4"/>
  <c r="CN88" i="4" s="1"/>
  <c r="CM81" i="4"/>
  <c r="CN81" i="4" s="1"/>
  <c r="CO81" i="4" s="1"/>
  <c r="CM60" i="4"/>
  <c r="CN60" i="4" s="1"/>
  <c r="CO60" i="4" s="1"/>
  <c r="CM70" i="4"/>
  <c r="CN70" i="4" s="1"/>
  <c r="CO70" i="4" s="1"/>
  <c r="CM57" i="4"/>
  <c r="CN57" i="4" s="1"/>
  <c r="CO57" i="4" s="1"/>
  <c r="CM32" i="4"/>
  <c r="CN32" i="4" s="1"/>
  <c r="CM19" i="4"/>
  <c r="CN19" i="4" s="1"/>
  <c r="CM15" i="4"/>
  <c r="CN15" i="4" s="1"/>
  <c r="CM160" i="4"/>
  <c r="CN160" i="4" s="1"/>
  <c r="CM154" i="4"/>
  <c r="CN154" i="4" s="1"/>
  <c r="CM156" i="4"/>
  <c r="CN156" i="4" s="1"/>
  <c r="CO156" i="4" s="1"/>
  <c r="CQ156" i="4"/>
  <c r="CM158" i="4"/>
  <c r="CN158" i="4" s="1"/>
  <c r="CO158" i="4" s="1"/>
  <c r="CM131" i="4"/>
  <c r="CN131" i="4" s="1"/>
  <c r="CO131" i="4" s="1"/>
  <c r="CM115" i="4"/>
  <c r="CN115" i="4" s="1"/>
  <c r="CO115" i="4" s="1"/>
  <c r="CM108" i="4"/>
  <c r="CN108" i="4" s="1"/>
  <c r="CM95" i="4"/>
  <c r="CN95" i="4" s="1"/>
  <c r="CM104" i="4"/>
  <c r="CN104" i="4" s="1"/>
  <c r="CO104" i="4" s="1"/>
  <c r="CM75" i="4"/>
  <c r="CN75" i="4" s="1"/>
  <c r="CO75" i="4" s="1"/>
  <c r="CQ75" i="4"/>
  <c r="CM66" i="4"/>
  <c r="CN66" i="4" s="1"/>
  <c r="CO66" i="4" s="1"/>
  <c r="CM62" i="4"/>
  <c r="CN62" i="4" s="1"/>
  <c r="CM50" i="4"/>
  <c r="CN50" i="4" s="1"/>
  <c r="CO50" i="4" s="1"/>
  <c r="CQ50" i="4"/>
  <c r="CM37" i="4"/>
  <c r="CN37" i="4" s="1"/>
  <c r="CQ37" i="4"/>
  <c r="CM11" i="4"/>
  <c r="CN11" i="4" s="1"/>
  <c r="CO11" i="4" s="1"/>
  <c r="CM7" i="4"/>
  <c r="CN7" i="4" s="1"/>
  <c r="CO7" i="4" s="1"/>
  <c r="CM197" i="4"/>
  <c r="CN197" i="4" s="1"/>
  <c r="CO197" i="4" s="1"/>
  <c r="CM147" i="4"/>
  <c r="CN147" i="4" s="1"/>
  <c r="CO147" i="4" s="1"/>
  <c r="CM170" i="4"/>
  <c r="CN170" i="4" s="1"/>
  <c r="CQ170" i="4"/>
  <c r="CM152" i="4"/>
  <c r="CN152" i="4" s="1"/>
  <c r="CM146" i="4"/>
  <c r="CN146" i="4" s="1"/>
  <c r="CO146" i="4" s="1"/>
  <c r="CM148" i="4"/>
  <c r="CN148" i="4" s="1"/>
  <c r="CO148" i="4" s="1"/>
  <c r="CM150" i="4"/>
  <c r="CN150" i="4" s="1"/>
  <c r="CO150" i="4" s="1"/>
  <c r="CQ150" i="4"/>
  <c r="CM143" i="4"/>
  <c r="CN143" i="4" s="1"/>
  <c r="CO143" i="4" s="1"/>
  <c r="CM120" i="4"/>
  <c r="CN120" i="4" s="1"/>
  <c r="CO120" i="4" s="1"/>
  <c r="CQ120" i="4"/>
  <c r="CM121" i="4"/>
  <c r="CN121" i="4" s="1"/>
  <c r="CM105" i="4"/>
  <c r="CN105" i="4" s="1"/>
  <c r="CO105" i="4" s="1"/>
  <c r="CM96" i="4"/>
  <c r="CN96" i="4" s="1"/>
  <c r="CO96" i="4" s="1"/>
  <c r="CM64" i="4"/>
  <c r="CN64" i="4" s="1"/>
  <c r="CO64" i="4" s="1"/>
  <c r="CM59" i="4"/>
  <c r="CN59" i="4" s="1"/>
  <c r="CO59" i="4" s="1"/>
  <c r="CQ59" i="4"/>
  <c r="CM49" i="4"/>
  <c r="CN49" i="4" s="1"/>
  <c r="CO49" i="4" s="1"/>
  <c r="CQ49" i="4"/>
  <c r="CM27" i="4"/>
  <c r="CN27" i="4" s="1"/>
  <c r="CM26" i="4"/>
  <c r="CN26" i="4" s="1"/>
  <c r="CO26" i="4" s="1"/>
  <c r="CM24" i="4"/>
  <c r="CN24" i="4" s="1"/>
  <c r="CO24" i="4" s="1"/>
  <c r="CM20" i="4"/>
  <c r="CN20" i="4" s="1"/>
  <c r="CO20" i="4" s="1"/>
  <c r="CM185" i="4"/>
  <c r="CN185" i="4" s="1"/>
  <c r="CO185" i="4" s="1"/>
  <c r="CQ185" i="4"/>
  <c r="CM192" i="4"/>
  <c r="CN192" i="4" s="1"/>
  <c r="CM202" i="4"/>
  <c r="CN202" i="4" s="1"/>
  <c r="CO202" i="4" s="1"/>
  <c r="CM196" i="4"/>
  <c r="CN196" i="4" s="1"/>
  <c r="CM172" i="4"/>
  <c r="CN172" i="4" s="1"/>
  <c r="CM174" i="4"/>
  <c r="CN174" i="4" s="1"/>
  <c r="CO174" i="4" s="1"/>
  <c r="CM169" i="4"/>
  <c r="CN169" i="4" s="1"/>
  <c r="CO169" i="4" s="1"/>
  <c r="CM142" i="4"/>
  <c r="CN142" i="4" s="1"/>
  <c r="CO142" i="4" s="1"/>
  <c r="CM129" i="4"/>
  <c r="CN129" i="4" s="1"/>
  <c r="CO129" i="4" s="1"/>
  <c r="CM112" i="4"/>
  <c r="CN112" i="4" s="1"/>
  <c r="CO112" i="4" s="1"/>
  <c r="CQ112" i="4"/>
  <c r="CM113" i="4"/>
  <c r="CN113" i="4" s="1"/>
  <c r="CM89" i="4"/>
  <c r="CN89" i="4" s="1"/>
  <c r="CO89" i="4" s="1"/>
  <c r="CQ89" i="4"/>
  <c r="CM82" i="4"/>
  <c r="CN82" i="4" s="1"/>
  <c r="CO82" i="4" s="1"/>
  <c r="CQ82" i="4"/>
  <c r="CM86" i="4"/>
  <c r="CN86" i="4" s="1"/>
  <c r="CM71" i="4"/>
  <c r="CN71" i="4" s="1"/>
  <c r="CM54" i="4"/>
  <c r="CN54" i="4" s="1"/>
  <c r="CM40" i="4"/>
  <c r="CN40" i="4" s="1"/>
  <c r="CM16" i="4"/>
  <c r="CN16" i="4" s="1"/>
  <c r="CO16" i="4" s="1"/>
  <c r="CQ16" i="4"/>
  <c r="CM12" i="4"/>
  <c r="CN12" i="4" s="1"/>
  <c r="CO12" i="4" s="1"/>
  <c r="CM176" i="4"/>
  <c r="CN176" i="4" s="1"/>
  <c r="CO176" i="4" s="1"/>
  <c r="CM195" i="4"/>
  <c r="CN195" i="4" s="1"/>
  <c r="CM190" i="4"/>
  <c r="CN190" i="4" s="1"/>
  <c r="CO190" i="4" s="1"/>
  <c r="CQ190" i="4"/>
  <c r="CM165" i="4"/>
  <c r="CN165" i="4" s="1"/>
  <c r="CM167" i="4"/>
  <c r="CN167" i="4" s="1"/>
  <c r="CO167" i="4" s="1"/>
  <c r="CM161" i="4"/>
  <c r="CN161" i="4" s="1"/>
  <c r="CO161" i="4" s="1"/>
  <c r="CM128" i="4"/>
  <c r="CN128" i="4" s="1"/>
  <c r="CO128" i="4" s="1"/>
  <c r="CM140" i="4"/>
  <c r="CN140" i="4" s="1"/>
  <c r="CO140" i="4" s="1"/>
  <c r="CM122" i="4"/>
  <c r="CN122" i="4" s="1"/>
  <c r="CM92" i="4"/>
  <c r="CN92" i="4" s="1"/>
  <c r="CM61" i="4"/>
  <c r="CN61" i="4" s="1"/>
  <c r="CO61" i="4" s="1"/>
  <c r="CM101" i="4"/>
  <c r="CN101" i="4" s="1"/>
  <c r="CM69" i="4"/>
  <c r="CN69" i="4" s="1"/>
  <c r="CO69" i="4" s="1"/>
  <c r="CM63" i="4"/>
  <c r="CN63" i="4" s="1"/>
  <c r="CO63" i="4" s="1"/>
  <c r="CM46" i="4"/>
  <c r="CN46" i="4" s="1"/>
  <c r="CO46" i="4" s="1"/>
  <c r="CM42" i="4"/>
  <c r="CN42" i="4" s="1"/>
  <c r="CO42" i="4" s="1"/>
  <c r="CM31" i="4"/>
  <c r="CN31" i="4" s="1"/>
  <c r="CO31" i="4" s="1"/>
  <c r="CM8" i="4"/>
  <c r="CN8" i="4" s="1"/>
  <c r="CM17" i="4"/>
  <c r="CN17" i="4" s="1"/>
  <c r="CO17" i="4" s="1"/>
  <c r="CM203" i="4"/>
  <c r="CN203" i="4" s="1"/>
  <c r="CM187" i="4"/>
  <c r="CN187" i="4" s="1"/>
  <c r="CO187" i="4" s="1"/>
  <c r="CM201" i="4"/>
  <c r="CN201" i="4" s="1"/>
  <c r="CO201" i="4" s="1"/>
  <c r="CQ201" i="4"/>
  <c r="CM159" i="4"/>
  <c r="CN159" i="4" s="1"/>
  <c r="CO159" i="4" s="1"/>
  <c r="CM153" i="4"/>
  <c r="CN153" i="4" s="1"/>
  <c r="CO153" i="4" s="1"/>
  <c r="CM109" i="4"/>
  <c r="CN109" i="4" s="1"/>
  <c r="CM133" i="4"/>
  <c r="CN133" i="4" s="1"/>
  <c r="CO133" i="4" s="1"/>
  <c r="CM119" i="4"/>
  <c r="CN119" i="4" s="1"/>
  <c r="CM118" i="4"/>
  <c r="CN118" i="4" s="1"/>
  <c r="CO118" i="4" s="1"/>
  <c r="CM94" i="4"/>
  <c r="CN94" i="4" s="1"/>
  <c r="CO94" i="4" s="1"/>
  <c r="CM93" i="4"/>
  <c r="CN93" i="4" s="1"/>
  <c r="CO93" i="4" s="1"/>
  <c r="CM83" i="4"/>
  <c r="CN83" i="4" s="1"/>
  <c r="CO83" i="4" s="1"/>
  <c r="CM68" i="4"/>
  <c r="CN68" i="4" s="1"/>
  <c r="CM43" i="4"/>
  <c r="CN43" i="4" s="1"/>
  <c r="CO43" i="4" s="1"/>
  <c r="CM25" i="4"/>
  <c r="CN25" i="4" s="1"/>
  <c r="CO25" i="4" s="1"/>
  <c r="CM36" i="4"/>
  <c r="CN36" i="4" s="1"/>
  <c r="CQ36" i="4"/>
  <c r="CM18" i="4"/>
  <c r="CN18" i="4" s="1"/>
  <c r="CO18" i="4" s="1"/>
  <c r="CM9" i="4"/>
  <c r="CN9" i="4" s="1"/>
  <c r="CO9" i="4" s="1"/>
  <c r="CQ9" i="4"/>
  <c r="CM180" i="4"/>
  <c r="CN180" i="4" s="1"/>
  <c r="CO180" i="4" s="1"/>
  <c r="CM157" i="4"/>
  <c r="CN157" i="4" s="1"/>
  <c r="CO157" i="4" s="1"/>
  <c r="CM194" i="4"/>
  <c r="CN194" i="4" s="1"/>
  <c r="CO194" i="4" s="1"/>
  <c r="CM155" i="4"/>
  <c r="CN155" i="4" s="1"/>
  <c r="CM199" i="4"/>
  <c r="CN199" i="4" s="1"/>
  <c r="CO199" i="4" s="1"/>
  <c r="CM179" i="4"/>
  <c r="CN179" i="4" s="1"/>
  <c r="CO179" i="4" s="1"/>
  <c r="CQ179" i="4"/>
  <c r="CM149" i="4"/>
  <c r="CN149" i="4" s="1"/>
  <c r="CO149" i="4" s="1"/>
  <c r="CQ149" i="4"/>
  <c r="CM145" i="4"/>
  <c r="CN145" i="4" s="1"/>
  <c r="CO145" i="4" s="1"/>
  <c r="CM139" i="4"/>
  <c r="CN139" i="4" s="1"/>
  <c r="CM137" i="4"/>
  <c r="CN137" i="4" s="1"/>
  <c r="CQ137" i="4"/>
  <c r="CM106" i="4"/>
  <c r="CN106" i="4" s="1"/>
  <c r="CO106" i="4" s="1"/>
  <c r="CM107" i="4"/>
  <c r="CN107" i="4" s="1"/>
  <c r="CO107" i="4" s="1"/>
  <c r="CM87" i="4"/>
  <c r="CN87" i="4" s="1"/>
  <c r="CO87" i="4" s="1"/>
  <c r="CM65" i="4"/>
  <c r="CN65" i="4" s="1"/>
  <c r="CO65" i="4" s="1"/>
  <c r="CM56" i="4"/>
  <c r="CN56" i="4" s="1"/>
  <c r="CM39" i="4"/>
  <c r="CN39" i="4" s="1"/>
  <c r="CO39" i="4" s="1"/>
  <c r="CM28" i="4"/>
  <c r="CN28" i="4" s="1"/>
  <c r="CM10" i="4"/>
  <c r="CN10" i="4" s="1"/>
  <c r="CO10" i="4" s="1"/>
  <c r="CM22" i="4"/>
  <c r="CN22" i="4" s="1"/>
  <c r="CO22" i="4" s="1"/>
  <c r="CQ22" i="4"/>
  <c r="CM188" i="4"/>
  <c r="CN188" i="4" s="1"/>
  <c r="CO188" i="4" s="1"/>
  <c r="CM186" i="4"/>
  <c r="CN186" i="4" s="1"/>
  <c r="CO186" i="4" s="1"/>
  <c r="CM204" i="4"/>
  <c r="CN204" i="4" s="1"/>
  <c r="CO204" i="4" s="1"/>
  <c r="CM193" i="4"/>
  <c r="CN193" i="4" s="1"/>
  <c r="CM178" i="4"/>
  <c r="CN178" i="4" s="1"/>
  <c r="CQ178" i="4"/>
  <c r="CM44" i="4"/>
  <c r="CN44" i="4" s="1"/>
  <c r="CO44" i="4" s="1"/>
  <c r="CM171" i="4"/>
  <c r="CN171" i="4" s="1"/>
  <c r="CO171" i="4" s="1"/>
  <c r="CQ171" i="4"/>
  <c r="CM144" i="4"/>
  <c r="CN144" i="4" s="1"/>
  <c r="CO144" i="4" s="1"/>
  <c r="CM141" i="4"/>
  <c r="CN141" i="4" s="1"/>
  <c r="CO141" i="4" s="1"/>
  <c r="CM130" i="4"/>
  <c r="CN130" i="4" s="1"/>
  <c r="CM124" i="4"/>
  <c r="CN124" i="4" s="1"/>
  <c r="CQ124" i="4"/>
  <c r="CM90" i="4"/>
  <c r="CN90" i="4" s="1"/>
  <c r="CO90" i="4" s="1"/>
  <c r="CM91" i="4"/>
  <c r="CN91" i="4" s="1"/>
  <c r="CO91" i="4" s="1"/>
  <c r="CM76" i="4"/>
  <c r="CN76" i="4" s="1"/>
  <c r="CO76" i="4" s="1"/>
  <c r="CM67" i="4"/>
  <c r="CN67" i="4" s="1"/>
  <c r="CO67" i="4" s="1"/>
  <c r="CM58" i="4"/>
  <c r="CN58" i="4" s="1"/>
  <c r="CO58" i="4" s="1"/>
  <c r="CM48" i="4"/>
  <c r="CN48" i="4" s="1"/>
  <c r="CO48" i="4" s="1"/>
  <c r="CQ48" i="4"/>
  <c r="CM30" i="4"/>
  <c r="CN30" i="4" s="1"/>
  <c r="CM13" i="4"/>
  <c r="CN13" i="4" s="1"/>
  <c r="CO13" i="4" s="1"/>
  <c r="CM23" i="4"/>
  <c r="CN23" i="4" s="1"/>
  <c r="CO23" i="4" s="1"/>
  <c r="CM6" i="4"/>
  <c r="CN6" i="4" s="1"/>
  <c r="CO6" i="4" s="1"/>
  <c r="CM191" i="4"/>
  <c r="CN191" i="4" s="1"/>
  <c r="CO191" i="4" s="1"/>
  <c r="CM151" i="4"/>
  <c r="CN151" i="4" s="1"/>
  <c r="CO151" i="4" s="1"/>
  <c r="CM55" i="4"/>
  <c r="CN55" i="4" s="1"/>
  <c r="CO55" i="4" s="1"/>
  <c r="CJ73" i="4"/>
  <c r="CL73" i="4" s="1"/>
  <c r="CQ73" i="4" s="1"/>
  <c r="CJ198" i="4"/>
  <c r="CL198" i="4" s="1"/>
  <c r="CQ198" i="4" s="1"/>
  <c r="CJ100" i="4"/>
  <c r="CL100" i="4" s="1"/>
  <c r="BJ168" i="4"/>
  <c r="BJ106" i="4"/>
  <c r="BJ17" i="4"/>
  <c r="BJ170" i="4"/>
  <c r="BJ166" i="4"/>
  <c r="BJ90" i="4"/>
  <c r="BJ65" i="4"/>
  <c r="BJ18" i="4"/>
  <c r="BJ203" i="4"/>
  <c r="BJ202" i="4"/>
  <c r="BJ152" i="4"/>
  <c r="BJ154" i="4"/>
  <c r="BJ156" i="4"/>
  <c r="BJ158" i="4"/>
  <c r="BJ138" i="4"/>
  <c r="BJ123" i="4"/>
  <c r="BJ116" i="4"/>
  <c r="BJ103" i="4"/>
  <c r="BJ88" i="4"/>
  <c r="BJ81" i="4"/>
  <c r="BJ60" i="4"/>
  <c r="BJ58" i="4"/>
  <c r="BJ56" i="4"/>
  <c r="BJ39" i="4"/>
  <c r="BJ28" i="4"/>
  <c r="BJ10" i="4"/>
  <c r="BJ22" i="4"/>
  <c r="BJ176" i="4"/>
  <c r="BJ31" i="4"/>
  <c r="BJ147" i="4"/>
  <c r="BJ141" i="4"/>
  <c r="BJ91" i="4"/>
  <c r="BJ43" i="4"/>
  <c r="BJ36" i="4"/>
  <c r="BJ187" i="4"/>
  <c r="BJ196" i="4"/>
  <c r="BJ172" i="4"/>
  <c r="BJ146" i="4"/>
  <c r="BJ148" i="4"/>
  <c r="BJ150" i="4"/>
  <c r="BJ131" i="4"/>
  <c r="BJ115" i="4"/>
  <c r="BJ108" i="4"/>
  <c r="BJ95" i="4"/>
  <c r="BJ104" i="4"/>
  <c r="BJ75" i="4"/>
  <c r="BJ66" i="4"/>
  <c r="BJ70" i="4"/>
  <c r="BJ48" i="4"/>
  <c r="BJ30" i="4"/>
  <c r="BJ13" i="4"/>
  <c r="BJ23" i="4"/>
  <c r="BJ6" i="4"/>
  <c r="BJ46" i="4"/>
  <c r="BJ188" i="4"/>
  <c r="BJ180" i="4"/>
  <c r="BJ190" i="4"/>
  <c r="BJ165" i="4"/>
  <c r="BJ174" i="4"/>
  <c r="BJ169" i="4"/>
  <c r="BJ142" i="4"/>
  <c r="BJ143" i="4"/>
  <c r="BJ120" i="4"/>
  <c r="BJ121" i="4"/>
  <c r="BJ105" i="4"/>
  <c r="BJ96" i="4"/>
  <c r="BJ64" i="4"/>
  <c r="BJ59" i="4"/>
  <c r="BJ62" i="4"/>
  <c r="BJ57" i="4"/>
  <c r="BJ32" i="4"/>
  <c r="BJ19" i="4"/>
  <c r="BJ15" i="4"/>
  <c r="BJ191" i="4"/>
  <c r="BJ171" i="4"/>
  <c r="BJ137" i="4"/>
  <c r="BJ87" i="4"/>
  <c r="BJ8" i="4"/>
  <c r="BJ162" i="4"/>
  <c r="BJ130" i="4"/>
  <c r="BJ76" i="4"/>
  <c r="BJ9" i="4"/>
  <c r="BJ194" i="4"/>
  <c r="BJ201" i="4"/>
  <c r="BJ157" i="4"/>
  <c r="BJ167" i="4"/>
  <c r="BJ161" i="4"/>
  <c r="BJ128" i="4"/>
  <c r="BJ129" i="4"/>
  <c r="BJ112" i="4"/>
  <c r="BJ113" i="4"/>
  <c r="BJ89" i="4"/>
  <c r="BJ82" i="4"/>
  <c r="BJ86" i="4"/>
  <c r="BJ71" i="4"/>
  <c r="BJ50" i="4"/>
  <c r="BJ37" i="4"/>
  <c r="BJ11" i="4"/>
  <c r="BJ7" i="4"/>
  <c r="BJ155" i="4"/>
  <c r="BJ186" i="4"/>
  <c r="BJ204" i="4"/>
  <c r="BJ193" i="4"/>
  <c r="BJ179" i="4"/>
  <c r="BJ149" i="4"/>
  <c r="BJ159" i="4"/>
  <c r="BJ153" i="4"/>
  <c r="BJ109" i="4"/>
  <c r="BJ140" i="4"/>
  <c r="BJ122" i="4"/>
  <c r="BJ92" i="4"/>
  <c r="BJ61" i="4"/>
  <c r="BJ101" i="4"/>
  <c r="BJ69" i="4"/>
  <c r="BJ63" i="4"/>
  <c r="BJ49" i="4"/>
  <c r="BJ27" i="4"/>
  <c r="BJ26" i="4"/>
  <c r="BJ24" i="4"/>
  <c r="BJ20" i="4"/>
  <c r="BJ144" i="4"/>
  <c r="BJ107" i="4"/>
  <c r="BJ42" i="4"/>
  <c r="BJ192" i="4"/>
  <c r="BJ160" i="4"/>
  <c r="BJ164" i="4"/>
  <c r="BJ124" i="4"/>
  <c r="BJ67" i="4"/>
  <c r="BJ25" i="4"/>
  <c r="BJ195" i="4"/>
  <c r="BJ200" i="4"/>
  <c r="BJ197" i="4"/>
  <c r="BJ185" i="4"/>
  <c r="BJ178" i="4"/>
  <c r="BJ44" i="4"/>
  <c r="BJ151" i="4"/>
  <c r="BJ145" i="4"/>
  <c r="BJ139" i="4"/>
  <c r="BJ133" i="4"/>
  <c r="BJ119" i="4"/>
  <c r="BJ118" i="4"/>
  <c r="BJ94" i="4"/>
  <c r="BJ93" i="4"/>
  <c r="BJ83" i="4"/>
  <c r="BJ68" i="4"/>
  <c r="BJ54" i="4"/>
  <c r="BJ55" i="4"/>
  <c r="BJ40" i="4"/>
  <c r="BJ16" i="4"/>
  <c r="BJ12" i="4"/>
  <c r="BJ199" i="4"/>
  <c r="F38" i="1"/>
  <c r="BH59" i="4"/>
  <c r="CO192" i="4"/>
  <c r="BH170" i="4"/>
  <c r="CO170" i="4"/>
  <c r="BH112" i="4"/>
  <c r="CE210" i="4"/>
  <c r="CH210" i="4" s="1"/>
  <c r="CJ210" i="4" s="1"/>
  <c r="CL210" i="4" s="1"/>
  <c r="CE183" i="4"/>
  <c r="CH183" i="4" s="1"/>
  <c r="CJ183" i="4" s="1"/>
  <c r="CL183" i="4" s="1"/>
  <c r="BH186" i="4"/>
  <c r="AR212" i="4"/>
  <c r="CE5" i="4"/>
  <c r="CE209" i="4"/>
  <c r="CH209" i="4" s="1"/>
  <c r="CJ209" i="4" s="1"/>
  <c r="CL209" i="4" s="1"/>
  <c r="CE181" i="4"/>
  <c r="CH181" i="4" s="1"/>
  <c r="CJ181" i="4" s="1"/>
  <c r="CL181" i="4" s="1"/>
  <c r="BH179" i="4"/>
  <c r="CO124" i="4"/>
  <c r="BH124" i="4"/>
  <c r="CE110" i="4"/>
  <c r="CH110" i="4" s="1"/>
  <c r="CJ110" i="4" s="1"/>
  <c r="CL110" i="4" s="1"/>
  <c r="BH89" i="4"/>
  <c r="CE52" i="4"/>
  <c r="CH52" i="4" s="1"/>
  <c r="CJ52" i="4" s="1"/>
  <c r="CL52" i="4" s="1"/>
  <c r="CO27" i="4"/>
  <c r="CE41" i="4"/>
  <c r="CH41" i="4" s="1"/>
  <c r="CJ41" i="4" s="1"/>
  <c r="CL41" i="4" s="1"/>
  <c r="CO8" i="4"/>
  <c r="AQ226" i="4"/>
  <c r="E40" i="6"/>
  <c r="CE208" i="4"/>
  <c r="CH208" i="4" s="1"/>
  <c r="CJ208" i="4" s="1"/>
  <c r="CL208" i="4" s="1"/>
  <c r="BH82" i="4"/>
  <c r="CE206" i="4"/>
  <c r="CH206" i="4" s="1"/>
  <c r="CJ206" i="4" s="1"/>
  <c r="CL206" i="4" s="1"/>
  <c r="CO155" i="4"/>
  <c r="BH180" i="4"/>
  <c r="CO196" i="4"/>
  <c r="CO178" i="4"/>
  <c r="CO165" i="4"/>
  <c r="BH165" i="4"/>
  <c r="BH120" i="4"/>
  <c r="CO116" i="4"/>
  <c r="CE74" i="4"/>
  <c r="CH74" i="4" s="1"/>
  <c r="CJ74" i="4" s="1"/>
  <c r="CL74" i="4" s="1"/>
  <c r="CE80" i="4"/>
  <c r="CH80" i="4" s="1"/>
  <c r="CJ80" i="4" s="1"/>
  <c r="CL80" i="4" s="1"/>
  <c r="CO56" i="4"/>
  <c r="CO32" i="4"/>
  <c r="CO36" i="4"/>
  <c r="BH36" i="4"/>
  <c r="BH9" i="4"/>
  <c r="CE177" i="4"/>
  <c r="CH177" i="4" s="1"/>
  <c r="CJ177" i="4" s="1"/>
  <c r="CL177" i="4" s="1"/>
  <c r="BH48" i="4"/>
  <c r="BH199" i="4"/>
  <c r="CE182" i="4"/>
  <c r="CH182" i="4" s="1"/>
  <c r="CJ182" i="4" s="1"/>
  <c r="CL182" i="4" s="1"/>
  <c r="CE163" i="4"/>
  <c r="CH163" i="4" s="1"/>
  <c r="CJ163" i="4" s="1"/>
  <c r="CL163" i="4" s="1"/>
  <c r="BH149" i="4"/>
  <c r="CE127" i="4"/>
  <c r="CH127" i="4" s="1"/>
  <c r="CJ127" i="4" s="1"/>
  <c r="CL127" i="4" s="1"/>
  <c r="CE125" i="4"/>
  <c r="CH125" i="4" s="1"/>
  <c r="CJ125" i="4" s="1"/>
  <c r="CL125" i="4" s="1"/>
  <c r="CO122" i="4"/>
  <c r="CO121" i="4"/>
  <c r="CO101" i="4"/>
  <c r="BH75" i="4"/>
  <c r="CE85" i="4"/>
  <c r="CH85" i="4" s="1"/>
  <c r="CJ85" i="4" s="1"/>
  <c r="CL85" i="4" s="1"/>
  <c r="CO71" i="4"/>
  <c r="CE35" i="4"/>
  <c r="CH35" i="4" s="1"/>
  <c r="CJ35" i="4" s="1"/>
  <c r="CL35" i="4" s="1"/>
  <c r="CE29" i="4"/>
  <c r="CH29" i="4" s="1"/>
  <c r="CJ29" i="4" s="1"/>
  <c r="CL29" i="4" s="1"/>
  <c r="CE14" i="4"/>
  <c r="CH14" i="4" s="1"/>
  <c r="CJ14" i="4" s="1"/>
  <c r="CL14" i="4" s="1"/>
  <c r="CE134" i="4"/>
  <c r="CH134" i="4" s="1"/>
  <c r="CJ134" i="4" s="1"/>
  <c r="CL134" i="4" s="1"/>
  <c r="CE102" i="4"/>
  <c r="CH102" i="4" s="1"/>
  <c r="CJ102" i="4" s="1"/>
  <c r="CL102" i="4" s="1"/>
  <c r="CO62" i="4"/>
  <c r="CO28" i="4"/>
  <c r="BH172" i="4"/>
  <c r="CO172" i="4"/>
  <c r="CE184" i="4"/>
  <c r="CH184" i="4" s="1"/>
  <c r="CJ184" i="4" s="1"/>
  <c r="CL184" i="4" s="1"/>
  <c r="BH191" i="4"/>
  <c r="CO193" i="4"/>
  <c r="CE175" i="4"/>
  <c r="CH175" i="4" s="1"/>
  <c r="CJ175" i="4" s="1"/>
  <c r="CL175" i="4" s="1"/>
  <c r="CE117" i="4"/>
  <c r="CH117" i="4" s="1"/>
  <c r="CJ117" i="4" s="1"/>
  <c r="CL117" i="4" s="1"/>
  <c r="CE114" i="4"/>
  <c r="CH114" i="4" s="1"/>
  <c r="CJ114" i="4" s="1"/>
  <c r="CL114" i="4" s="1"/>
  <c r="CO113" i="4"/>
  <c r="CO103" i="4"/>
  <c r="CE77" i="4"/>
  <c r="CH77" i="4" s="1"/>
  <c r="CJ77" i="4" s="1"/>
  <c r="CL77" i="4" s="1"/>
  <c r="BH49" i="4"/>
  <c r="CE53" i="4"/>
  <c r="CH53" i="4" s="1"/>
  <c r="CJ53" i="4" s="1"/>
  <c r="CL53" i="4" s="1"/>
  <c r="CE33" i="4"/>
  <c r="CH33" i="4" s="1"/>
  <c r="CJ33" i="4" s="1"/>
  <c r="CL33" i="4" s="1"/>
  <c r="CE34" i="4"/>
  <c r="CH34" i="4" s="1"/>
  <c r="CJ34" i="4" s="1"/>
  <c r="CL34" i="4" s="1"/>
  <c r="CO19" i="4"/>
  <c r="CO15" i="4"/>
  <c r="CO168" i="4"/>
  <c r="BH171" i="4"/>
  <c r="CO137" i="4"/>
  <c r="BH137" i="4"/>
  <c r="CO119" i="4"/>
  <c r="CO92" i="4"/>
  <c r="CO95" i="4"/>
  <c r="CE99" i="4"/>
  <c r="CH99" i="4" s="1"/>
  <c r="CJ99" i="4" s="1"/>
  <c r="CL99" i="4" s="1"/>
  <c r="CO86" i="4"/>
  <c r="BH73" i="4"/>
  <c r="CO68" i="4"/>
  <c r="CO54" i="4"/>
  <c r="CE45" i="4"/>
  <c r="CH45" i="4" s="1"/>
  <c r="CJ45" i="4" s="1"/>
  <c r="CL45" i="4" s="1"/>
  <c r="CE205" i="4"/>
  <c r="CH205" i="4" s="1"/>
  <c r="CJ205" i="4" s="1"/>
  <c r="CL205" i="4" s="1"/>
  <c r="BH150" i="4"/>
  <c r="CE98" i="4"/>
  <c r="CH98" i="4" s="1"/>
  <c r="CJ98" i="4" s="1"/>
  <c r="CL98" i="4" s="1"/>
  <c r="CE47" i="4"/>
  <c r="CH47" i="4" s="1"/>
  <c r="CJ47" i="4" s="1"/>
  <c r="CL47" i="4" s="1"/>
  <c r="BH22" i="4"/>
  <c r="CO195" i="4"/>
  <c r="BH201" i="4"/>
  <c r="CO160" i="4"/>
  <c r="CO162" i="4"/>
  <c r="CE136" i="4"/>
  <c r="CH136" i="4" s="1"/>
  <c r="CJ136" i="4" s="1"/>
  <c r="CL136" i="4" s="1"/>
  <c r="CO109" i="4"/>
  <c r="CO130" i="4"/>
  <c r="CE111" i="4"/>
  <c r="CH111" i="4" s="1"/>
  <c r="CJ111" i="4" s="1"/>
  <c r="CL111" i="4" s="1"/>
  <c r="CE126" i="4"/>
  <c r="CH126" i="4" s="1"/>
  <c r="CJ126" i="4" s="1"/>
  <c r="CL126" i="4" s="1"/>
  <c r="CE79" i="4"/>
  <c r="CH79" i="4" s="1"/>
  <c r="CJ79" i="4" s="1"/>
  <c r="CL79" i="4" s="1"/>
  <c r="CE78" i="4"/>
  <c r="CH78" i="4" s="1"/>
  <c r="CJ78" i="4" s="1"/>
  <c r="CL78" i="4" s="1"/>
  <c r="CE21" i="4"/>
  <c r="CH21" i="4" s="1"/>
  <c r="CJ21" i="4" s="1"/>
  <c r="CL21" i="4" s="1"/>
  <c r="BH204" i="4"/>
  <c r="CO108" i="4"/>
  <c r="CE72" i="4"/>
  <c r="CH72" i="4" s="1"/>
  <c r="CJ72" i="4" s="1"/>
  <c r="CL72" i="4" s="1"/>
  <c r="CO37" i="4"/>
  <c r="BH37" i="4"/>
  <c r="CO203" i="4"/>
  <c r="CO200" i="4"/>
  <c r="BH202" i="4"/>
  <c r="CO152" i="4"/>
  <c r="CO154" i="4"/>
  <c r="BH156" i="4"/>
  <c r="CE173" i="4"/>
  <c r="CH173" i="4" s="1"/>
  <c r="CJ173" i="4" s="1"/>
  <c r="CL173" i="4" s="1"/>
  <c r="CO139" i="4"/>
  <c r="CE135" i="4"/>
  <c r="CH135" i="4" s="1"/>
  <c r="CJ135" i="4" s="1"/>
  <c r="CL135" i="4" s="1"/>
  <c r="CO123" i="4"/>
  <c r="CE97" i="4"/>
  <c r="CH97" i="4" s="1"/>
  <c r="CJ97" i="4" s="1"/>
  <c r="CL97" i="4" s="1"/>
  <c r="CO88" i="4"/>
  <c r="CE84" i="4"/>
  <c r="CH84" i="4" s="1"/>
  <c r="CJ84" i="4" s="1"/>
  <c r="CL84" i="4" s="1"/>
  <c r="CE51" i="4"/>
  <c r="CH51" i="4" s="1"/>
  <c r="CJ51" i="4" s="1"/>
  <c r="CL51" i="4" s="1"/>
  <c r="BH50" i="4"/>
  <c r="CO30" i="4"/>
  <c r="CO40" i="4"/>
  <c r="BH16" i="4"/>
  <c r="D35" i="17"/>
  <c r="D36" i="17"/>
  <c r="F39" i="1"/>
  <c r="C50" i="17"/>
  <c r="AT2" i="4"/>
  <c r="AS1" i="4"/>
  <c r="C123" i="17" s="1"/>
  <c r="D123" i="17" s="1"/>
  <c r="CM114" i="4" l="1"/>
  <c r="CN114" i="4" s="1"/>
  <c r="CO114" i="4" s="1"/>
  <c r="CM102" i="4"/>
  <c r="CN102" i="4" s="1"/>
  <c r="CM35" i="4"/>
  <c r="CN35" i="4" s="1"/>
  <c r="CO35" i="4" s="1"/>
  <c r="CQ35" i="4"/>
  <c r="CM210" i="4"/>
  <c r="CN210" i="4" s="1"/>
  <c r="CO210" i="4" s="1"/>
  <c r="CQ210" i="4"/>
  <c r="CM173" i="4"/>
  <c r="CN173" i="4" s="1"/>
  <c r="CO173" i="4" s="1"/>
  <c r="CM78" i="4"/>
  <c r="CN78" i="4" s="1"/>
  <c r="CO78" i="4" s="1"/>
  <c r="CM117" i="4"/>
  <c r="CN117" i="4" s="1"/>
  <c r="CO117" i="4" s="1"/>
  <c r="CM134" i="4"/>
  <c r="CN134" i="4" s="1"/>
  <c r="CO134" i="4" s="1"/>
  <c r="CM163" i="4"/>
  <c r="CN163" i="4" s="1"/>
  <c r="CO163" i="4" s="1"/>
  <c r="CM206" i="4"/>
  <c r="CN206" i="4" s="1"/>
  <c r="CM52" i="4"/>
  <c r="CN52" i="4" s="1"/>
  <c r="CO52" i="4" s="1"/>
  <c r="CM181" i="4"/>
  <c r="CN181" i="4" s="1"/>
  <c r="CO181" i="4" s="1"/>
  <c r="CM77" i="4"/>
  <c r="CN77" i="4" s="1"/>
  <c r="CO77" i="4" s="1"/>
  <c r="CM85" i="4"/>
  <c r="CN85" i="4" s="1"/>
  <c r="CO85" i="4" s="1"/>
  <c r="CM125" i="4"/>
  <c r="CN125" i="4" s="1"/>
  <c r="CO125" i="4" s="1"/>
  <c r="CM182" i="4"/>
  <c r="CN182" i="4" s="1"/>
  <c r="CO182" i="4" s="1"/>
  <c r="CM177" i="4"/>
  <c r="CN177" i="4" s="1"/>
  <c r="CO177" i="4" s="1"/>
  <c r="CM209" i="4"/>
  <c r="CN209" i="4" s="1"/>
  <c r="CO209" i="4" s="1"/>
  <c r="CQ209" i="4"/>
  <c r="CM100" i="4"/>
  <c r="CN100" i="4" s="1"/>
  <c r="CP100" i="4" s="1"/>
  <c r="CQ100" i="4"/>
  <c r="CM84" i="4"/>
  <c r="CN84" i="4" s="1"/>
  <c r="CO84" i="4" s="1"/>
  <c r="CM136" i="4"/>
  <c r="CN136" i="4" s="1"/>
  <c r="CO136" i="4" s="1"/>
  <c r="CQ136" i="4"/>
  <c r="CM205" i="4"/>
  <c r="CN205" i="4" s="1"/>
  <c r="CO205" i="4" s="1"/>
  <c r="CM184" i="4"/>
  <c r="CN184" i="4" s="1"/>
  <c r="CO184" i="4" s="1"/>
  <c r="CM14" i="4"/>
  <c r="CN14" i="4" s="1"/>
  <c r="CO14" i="4" s="1"/>
  <c r="CM127" i="4"/>
  <c r="CN127" i="4" s="1"/>
  <c r="CO127" i="4" s="1"/>
  <c r="CM79" i="4"/>
  <c r="CN79" i="4" s="1"/>
  <c r="CM21" i="4"/>
  <c r="CN21" i="4" s="1"/>
  <c r="CO21" i="4" s="1"/>
  <c r="CQ21" i="4"/>
  <c r="CM34" i="4"/>
  <c r="CN34" i="4" s="1"/>
  <c r="CO34" i="4" s="1"/>
  <c r="CM72" i="4"/>
  <c r="CN72" i="4" s="1"/>
  <c r="CO72" i="4" s="1"/>
  <c r="CM126" i="4"/>
  <c r="CN126" i="4" s="1"/>
  <c r="CO126" i="4" s="1"/>
  <c r="CM99" i="4"/>
  <c r="CN99" i="4" s="1"/>
  <c r="CO99" i="4" s="1"/>
  <c r="CM33" i="4"/>
  <c r="CN33" i="4" s="1"/>
  <c r="CO33" i="4" s="1"/>
  <c r="CM80" i="4"/>
  <c r="CN80" i="4" s="1"/>
  <c r="CO80" i="4" s="1"/>
  <c r="CM41" i="4"/>
  <c r="CN41" i="4" s="1"/>
  <c r="CO41" i="4" s="1"/>
  <c r="CM111" i="4"/>
  <c r="CN111" i="4" s="1"/>
  <c r="CO111" i="4" s="1"/>
  <c r="CM47" i="4"/>
  <c r="CN47" i="4" s="1"/>
  <c r="CO47" i="4" s="1"/>
  <c r="CQ47" i="4"/>
  <c r="CM53" i="4"/>
  <c r="CN53" i="4" s="1"/>
  <c r="CO53" i="4" s="1"/>
  <c r="CM29" i="4"/>
  <c r="CN29" i="4" s="1"/>
  <c r="CO29" i="4" s="1"/>
  <c r="CM74" i="4"/>
  <c r="CN74" i="4" s="1"/>
  <c r="CO74" i="4" s="1"/>
  <c r="CQ74" i="4"/>
  <c r="CM97" i="4"/>
  <c r="CN97" i="4" s="1"/>
  <c r="CO97" i="4" s="1"/>
  <c r="CM51" i="4"/>
  <c r="CN51" i="4" s="1"/>
  <c r="CO51" i="4" s="1"/>
  <c r="CM135" i="4"/>
  <c r="CN135" i="4" s="1"/>
  <c r="CO135" i="4" s="1"/>
  <c r="CM98" i="4"/>
  <c r="CN98" i="4" s="1"/>
  <c r="CO98" i="4" s="1"/>
  <c r="CM45" i="4"/>
  <c r="CN45" i="4" s="1"/>
  <c r="CO45" i="4" s="1"/>
  <c r="CM175" i="4"/>
  <c r="CN175" i="4" s="1"/>
  <c r="CO175" i="4" s="1"/>
  <c r="CM208" i="4"/>
  <c r="CN208" i="4" s="1"/>
  <c r="CO208" i="4" s="1"/>
  <c r="CM110" i="4"/>
  <c r="CN110" i="4" s="1"/>
  <c r="CO110" i="4" s="1"/>
  <c r="CM183" i="4"/>
  <c r="CN183" i="4" s="1"/>
  <c r="CO183" i="4" s="1"/>
  <c r="BH100" i="4"/>
  <c r="BJ100" i="4"/>
  <c r="BJ198" i="4"/>
  <c r="CM198" i="4"/>
  <c r="CN198" i="4" s="1"/>
  <c r="BJ73" i="4"/>
  <c r="CM73" i="4"/>
  <c r="CN73" i="4" s="1"/>
  <c r="BJ47" i="4"/>
  <c r="BJ210" i="4"/>
  <c r="BJ78" i="4"/>
  <c r="BJ98" i="4"/>
  <c r="BJ114" i="4"/>
  <c r="BJ102" i="4"/>
  <c r="BJ35" i="4"/>
  <c r="BJ206" i="4"/>
  <c r="BJ110" i="4"/>
  <c r="BJ181" i="4"/>
  <c r="BJ29" i="4"/>
  <c r="BJ183" i="4"/>
  <c r="BJ208" i="4"/>
  <c r="BJ79" i="4"/>
  <c r="BJ136" i="4"/>
  <c r="BJ45" i="4"/>
  <c r="BJ99" i="4"/>
  <c r="BJ117" i="4"/>
  <c r="BJ134" i="4"/>
  <c r="BJ52" i="4"/>
  <c r="BJ209" i="4"/>
  <c r="BJ21" i="4"/>
  <c r="BJ77" i="4"/>
  <c r="BJ72" i="4"/>
  <c r="BJ34" i="4"/>
  <c r="BJ184" i="4"/>
  <c r="BJ14" i="4"/>
  <c r="BJ85" i="4"/>
  <c r="BJ80" i="4"/>
  <c r="BJ177" i="4"/>
  <c r="BJ175" i="4"/>
  <c r="BJ135" i="4"/>
  <c r="BJ126" i="4"/>
  <c r="BJ205" i="4"/>
  <c r="BJ33" i="4"/>
  <c r="BJ125" i="4"/>
  <c r="BJ163" i="4"/>
  <c r="BJ74" i="4"/>
  <c r="BJ51" i="4"/>
  <c r="BJ84" i="4"/>
  <c r="BJ97" i="4"/>
  <c r="BJ173" i="4"/>
  <c r="BJ111" i="4"/>
  <c r="BJ53" i="4"/>
  <c r="BJ127" i="4"/>
  <c r="BJ182" i="4"/>
  <c r="BJ41" i="4"/>
  <c r="F44" i="1"/>
  <c r="CO79" i="4"/>
  <c r="BH35" i="4"/>
  <c r="BH74" i="4"/>
  <c r="CE212" i="4"/>
  <c r="CE226" i="4" s="1"/>
  <c r="CH5" i="4"/>
  <c r="CJ5" i="4" s="1"/>
  <c r="BH210" i="4"/>
  <c r="BH21" i="4"/>
  <c r="AR226" i="4"/>
  <c r="E41" i="6"/>
  <c r="BH47" i="4"/>
  <c r="BH136" i="4"/>
  <c r="CO102" i="4"/>
  <c r="CO206" i="4"/>
  <c r="AT1" i="4"/>
  <c r="C124" i="17" s="1"/>
  <c r="D124" i="17" s="1"/>
  <c r="AU2" i="4"/>
  <c r="F104" i="1"/>
  <c r="D51" i="17"/>
  <c r="D50" i="17"/>
  <c r="CR100" i="4" l="1"/>
  <c r="CS100" i="4" s="1"/>
  <c r="DA100" i="4" s="1"/>
  <c r="DI100" i="4" s="1"/>
  <c r="CJ212" i="4"/>
  <c r="CL5" i="4"/>
  <c r="F46" i="1"/>
  <c r="F48" i="1" s="1"/>
  <c r="F49" i="1" s="1"/>
  <c r="CP199" i="4"/>
  <c r="CQ199" i="4" s="1"/>
  <c r="CH212" i="4"/>
  <c r="CH226" i="4" s="1"/>
  <c r="CP73" i="4"/>
  <c r="CR73" i="4" s="1"/>
  <c r="CS73" i="4" s="1"/>
  <c r="D57" i="17"/>
  <c r="D58" i="17"/>
  <c r="AU1" i="4"/>
  <c r="C125" i="17" s="1"/>
  <c r="D125" i="17" s="1"/>
  <c r="AV2" i="4"/>
  <c r="F105" i="1"/>
  <c r="E127" i="1" l="1"/>
  <c r="F127" i="1" s="1"/>
  <c r="E90" i="1"/>
  <c r="CM5" i="4"/>
  <c r="E126" i="1"/>
  <c r="F126" i="1" s="1"/>
  <c r="F51" i="1"/>
  <c r="BJ5" i="4"/>
  <c r="CR199" i="4"/>
  <c r="CS199" i="4" s="1"/>
  <c r="CL212" i="4"/>
  <c r="BC100" i="4"/>
  <c r="BE100" i="4" s="1"/>
  <c r="DA73" i="4"/>
  <c r="DI73" i="4" s="1"/>
  <c r="AW2" i="4"/>
  <c r="AV1" i="4"/>
  <c r="C126" i="17" s="1"/>
  <c r="D126" i="17" s="1"/>
  <c r="F106" i="1"/>
  <c r="D60" i="17"/>
  <c r="D59" i="17"/>
  <c r="D61" i="17"/>
  <c r="CN5" i="4" l="1"/>
  <c r="CO5" i="4" s="1"/>
  <c r="CM212" i="4"/>
  <c r="BH212" i="4" s="1"/>
  <c r="F128" i="1"/>
  <c r="F132" i="1" s="1"/>
  <c r="D54" i="1" s="1"/>
  <c r="E54" i="1" s="1"/>
  <c r="F54" i="1" s="1"/>
  <c r="F55" i="1" s="1"/>
  <c r="DA199" i="4"/>
  <c r="DI199" i="4" s="1"/>
  <c r="BC199" i="4" s="1"/>
  <c r="BE199" i="4" s="1"/>
  <c r="BD100" i="4"/>
  <c r="BF100" i="4" s="1"/>
  <c r="CL226" i="4"/>
  <c r="BC73" i="4"/>
  <c r="BE73" i="4" s="1"/>
  <c r="CN212" i="4"/>
  <c r="CN226" i="4" s="1"/>
  <c r="D64" i="17"/>
  <c r="D62" i="17"/>
  <c r="D63" i="17"/>
  <c r="AX2" i="4"/>
  <c r="AW1" i="4"/>
  <c r="F107" i="1"/>
  <c r="BD199" i="4" l="1"/>
  <c r="BF199" i="4" s="1"/>
  <c r="BH226" i="4"/>
  <c r="BD73" i="4"/>
  <c r="BF73" i="4" s="1"/>
  <c r="F108" i="1"/>
  <c r="D66" i="17"/>
  <c r="D65" i="17"/>
  <c r="D67" i="17"/>
  <c r="AX1" i="4"/>
  <c r="C127" i="17" s="1"/>
  <c r="D127" i="17" s="1"/>
  <c r="AY2" i="4"/>
  <c r="BH189" i="4" l="1"/>
  <c r="BH207" i="4"/>
  <c r="BH133" i="4"/>
  <c r="BH178" i="4"/>
  <c r="BH174" i="4"/>
  <c r="BH66" i="4"/>
  <c r="BH81" i="4"/>
  <c r="BH10" i="4"/>
  <c r="BH159" i="4"/>
  <c r="BH94" i="4"/>
  <c r="BH44" i="4"/>
  <c r="BH145" i="4"/>
  <c r="BH86" i="4"/>
  <c r="BH143" i="4"/>
  <c r="BH20" i="4"/>
  <c r="BH200" i="4"/>
  <c r="BH60" i="4"/>
  <c r="BH154" i="4"/>
  <c r="BH56" i="4"/>
  <c r="BH107" i="4"/>
  <c r="BH198" i="4"/>
  <c r="BH187" i="4"/>
  <c r="BH104" i="4"/>
  <c r="BH106" i="4"/>
  <c r="BH128" i="4"/>
  <c r="BH54" i="4"/>
  <c r="BH71" i="4"/>
  <c r="BH131" i="4"/>
  <c r="BH95" i="4"/>
  <c r="BH152" i="4"/>
  <c r="BH83" i="4"/>
  <c r="BH8" i="4"/>
  <c r="BH55" i="4"/>
  <c r="BH197" i="4"/>
  <c r="BH121" i="4"/>
  <c r="BH63" i="4"/>
  <c r="BH15" i="4"/>
  <c r="BH92" i="4"/>
  <c r="BH147" i="4"/>
  <c r="BH162" i="4"/>
  <c r="BH130" i="4"/>
  <c r="BH57" i="4"/>
  <c r="BH108" i="4"/>
  <c r="BH123" i="4"/>
  <c r="BH192" i="4"/>
  <c r="BH17" i="4"/>
  <c r="BH196" i="4"/>
  <c r="BH116" i="4"/>
  <c r="BH146" i="4"/>
  <c r="BH166" i="4"/>
  <c r="BH115" i="4"/>
  <c r="BH43" i="4"/>
  <c r="BH141" i="4"/>
  <c r="BH61" i="4"/>
  <c r="BH70" i="4"/>
  <c r="BH101" i="4"/>
  <c r="BH62" i="4"/>
  <c r="BH103" i="4"/>
  <c r="BH93" i="4"/>
  <c r="BH168" i="4"/>
  <c r="BH87" i="4"/>
  <c r="BH26" i="4"/>
  <c r="BH7" i="4"/>
  <c r="BH185" i="4"/>
  <c r="BH109" i="4"/>
  <c r="BH203" i="4"/>
  <c r="BH139" i="4"/>
  <c r="BH40" i="4"/>
  <c r="BH12" i="4"/>
  <c r="BH65" i="4"/>
  <c r="BH167" i="4"/>
  <c r="BH76" i="4"/>
  <c r="BH31" i="4"/>
  <c r="BH169" i="4"/>
  <c r="BH153" i="4"/>
  <c r="BH13" i="4"/>
  <c r="BH151" i="4"/>
  <c r="BH105" i="4"/>
  <c r="BH24" i="4"/>
  <c r="BH188" i="4"/>
  <c r="BH157" i="4"/>
  <c r="BH113" i="4"/>
  <c r="BH129" i="4"/>
  <c r="BH194" i="4"/>
  <c r="BH32" i="4"/>
  <c r="BH18" i="4"/>
  <c r="BH42" i="4"/>
  <c r="BH64" i="4"/>
  <c r="BH144" i="4"/>
  <c r="BH68" i="4"/>
  <c r="BH11" i="4"/>
  <c r="BH164" i="4"/>
  <c r="BH30" i="4"/>
  <c r="BH90" i="4"/>
  <c r="BH190" i="4"/>
  <c r="BH69" i="4"/>
  <c r="BH148" i="4"/>
  <c r="BH58" i="4"/>
  <c r="BH27" i="4"/>
  <c r="BH155" i="4"/>
  <c r="BH158" i="4"/>
  <c r="BH140" i="4"/>
  <c r="BH96" i="4"/>
  <c r="BH142" i="4"/>
  <c r="BH122" i="4"/>
  <c r="BH23" i="4"/>
  <c r="BH28" i="4"/>
  <c r="BH193" i="4"/>
  <c r="BH19" i="4"/>
  <c r="BH6" i="4"/>
  <c r="BH119" i="4"/>
  <c r="BH25" i="4"/>
  <c r="BH195" i="4"/>
  <c r="BH176" i="4"/>
  <c r="BH160" i="4"/>
  <c r="BH91" i="4"/>
  <c r="BH67" i="4"/>
  <c r="BH46" i="4"/>
  <c r="BH39" i="4"/>
  <c r="BH161" i="4"/>
  <c r="BH88" i="4"/>
  <c r="BH118" i="4"/>
  <c r="BH138" i="4"/>
  <c r="BH182" i="4"/>
  <c r="BH97" i="4"/>
  <c r="BH84" i="4"/>
  <c r="BH117" i="4"/>
  <c r="BH41" i="4"/>
  <c r="BH110" i="4"/>
  <c r="BH78" i="4"/>
  <c r="BH183" i="4"/>
  <c r="BH175" i="4"/>
  <c r="BH33" i="4"/>
  <c r="BH127" i="4"/>
  <c r="BH102" i="4"/>
  <c r="BH208" i="4"/>
  <c r="BH14" i="4"/>
  <c r="BH126" i="4"/>
  <c r="BH114" i="4"/>
  <c r="BH209" i="4"/>
  <c r="BH72" i="4"/>
  <c r="BH111" i="4"/>
  <c r="BH125" i="4"/>
  <c r="BH163" i="4"/>
  <c r="BH53" i="4"/>
  <c r="F90" i="1"/>
  <c r="BH98" i="4"/>
  <c r="BH51" i="4"/>
  <c r="BH134" i="4"/>
  <c r="BH80" i="4"/>
  <c r="BH205" i="4"/>
  <c r="BH173" i="4"/>
  <c r="BH77" i="4"/>
  <c r="BH45" i="4"/>
  <c r="BH34" i="4"/>
  <c r="BH177" i="4"/>
  <c r="BH79" i="4"/>
  <c r="BH181" i="4"/>
  <c r="BH184" i="4"/>
  <c r="BH29" i="4"/>
  <c r="BH206" i="4"/>
  <c r="BH135" i="4"/>
  <c r="BH52" i="4"/>
  <c r="BH99" i="4"/>
  <c r="BH85" i="4"/>
  <c r="BH5" i="4"/>
  <c r="F109" i="1"/>
  <c r="AY1" i="4"/>
  <c r="AZ2" i="4"/>
  <c r="D70" i="17"/>
  <c r="D68" i="17"/>
  <c r="D69" i="17"/>
  <c r="CR189" i="4" l="1"/>
  <c r="CS189" i="4" s="1"/>
  <c r="BA2" i="4"/>
  <c r="AZ1" i="4"/>
  <c r="F110" i="1"/>
  <c r="C75" i="17"/>
  <c r="D71" i="17"/>
  <c r="D72" i="17"/>
  <c r="D73" i="17"/>
  <c r="DF189" i="4" l="1"/>
  <c r="DN189" i="4" s="1"/>
  <c r="DE189" i="4"/>
  <c r="DM189" i="4" s="1"/>
  <c r="DD189" i="4"/>
  <c r="DL189" i="4" s="1"/>
  <c r="DC189" i="4"/>
  <c r="DK189" i="4" s="1"/>
  <c r="DG189" i="4"/>
  <c r="DO189" i="4" s="1"/>
  <c r="DA189" i="4"/>
  <c r="DI189" i="4" s="1"/>
  <c r="DB189" i="4"/>
  <c r="DJ189" i="4" s="1"/>
  <c r="D74" i="17"/>
  <c r="D76" i="17"/>
  <c r="D75" i="17"/>
  <c r="F111" i="1"/>
  <c r="F113" i="1" s="1"/>
  <c r="F114" i="1" s="1"/>
  <c r="F115" i="1" s="1"/>
  <c r="C78" i="17"/>
  <c r="BB2" i="4"/>
  <c r="BA1" i="4"/>
  <c r="DE73" i="4" l="1"/>
  <c r="DM73" i="4" s="1"/>
  <c r="DD73" i="4"/>
  <c r="DL73" i="4" s="1"/>
  <c r="DC73" i="4"/>
  <c r="DK73" i="4" s="1"/>
  <c r="DF73" i="4"/>
  <c r="DN73" i="4" s="1"/>
  <c r="DF100" i="4"/>
  <c r="DN100" i="4" s="1"/>
  <c r="DE100" i="4"/>
  <c r="DM100" i="4" s="1"/>
  <c r="DD100" i="4"/>
  <c r="DL100" i="4" s="1"/>
  <c r="DC100" i="4"/>
  <c r="DK100" i="4" s="1"/>
  <c r="DF199" i="4"/>
  <c r="DN199" i="4" s="1"/>
  <c r="DE199" i="4"/>
  <c r="DM199" i="4" s="1"/>
  <c r="DD199" i="4"/>
  <c r="DL199" i="4" s="1"/>
  <c r="DC199" i="4"/>
  <c r="DK199" i="4" s="1"/>
  <c r="BC189" i="4"/>
  <c r="BE189" i="4" s="1"/>
  <c r="DB73" i="4"/>
  <c r="DJ73" i="4" s="1"/>
  <c r="DG73" i="4"/>
  <c r="DO73" i="4" s="1"/>
  <c r="DB100" i="4"/>
  <c r="DJ100" i="4" s="1"/>
  <c r="DG100" i="4"/>
  <c r="DO100" i="4" s="1"/>
  <c r="BA212" i="4"/>
  <c r="DB199" i="4"/>
  <c r="DJ199" i="4" s="1"/>
  <c r="DG199" i="4"/>
  <c r="DO199" i="4" s="1"/>
  <c r="F116" i="1"/>
  <c r="C81" i="17"/>
  <c r="D77" i="17"/>
  <c r="D79" i="17"/>
  <c r="D78" i="17"/>
  <c r="BC2" i="4"/>
  <c r="BB1" i="4"/>
  <c r="F117" i="1" l="1"/>
  <c r="D62" i="1" s="1"/>
  <c r="BD189" i="4"/>
  <c r="BF189" i="4" s="1"/>
  <c r="BA226" i="4"/>
  <c r="E50" i="6"/>
  <c r="CT212" i="4"/>
  <c r="CT226" i="4" s="1"/>
  <c r="C109" i="17"/>
  <c r="D109" i="17" s="1"/>
  <c r="BD2" i="4"/>
  <c r="D81" i="17"/>
  <c r="D80" i="17"/>
  <c r="BE2" i="4" l="1"/>
  <c r="F91" i="1" l="1"/>
  <c r="BF2" i="4"/>
  <c r="F56" i="1" l="1"/>
  <c r="F57" i="1" s="1"/>
  <c r="F58" i="1" s="1"/>
  <c r="BG2" i="4"/>
  <c r="D61" i="1" l="1"/>
  <c r="BH2" i="4"/>
  <c r="E61" i="1" l="1"/>
  <c r="F61" i="1" s="1"/>
  <c r="E62" i="1"/>
  <c r="F62" i="1" s="1"/>
  <c r="D14" i="5" s="1"/>
  <c r="H14" i="5" s="1"/>
  <c r="BI2" i="4"/>
  <c r="I14" i="5" l="1"/>
  <c r="D11" i="7"/>
  <c r="D10" i="7"/>
  <c r="F14" i="5"/>
  <c r="D13" i="5"/>
  <c r="H13" i="5" s="1"/>
  <c r="BJ2" i="4"/>
  <c r="B40" i="7" l="1"/>
  <c r="I13" i="5"/>
  <c r="C10" i="7"/>
  <c r="C11" i="7"/>
  <c r="BK2" i="4"/>
  <c r="BJ1" i="4"/>
  <c r="C118" i="17" s="1"/>
  <c r="D118" i="17" s="1"/>
  <c r="F13" i="5"/>
  <c r="B39" i="7" l="1"/>
  <c r="BL2" i="4"/>
  <c r="BK1" i="4"/>
  <c r="BM2" i="4" l="1"/>
  <c r="BL1" i="4"/>
  <c r="BN2" i="4" l="1"/>
  <c r="BM1" i="4"/>
  <c r="BO2" i="4" l="1"/>
  <c r="BN1" i="4"/>
  <c r="BP2" i="4" l="1"/>
  <c r="BO1" i="4"/>
  <c r="BQ2" i="4" l="1"/>
  <c r="BP1" i="4"/>
  <c r="BR2" i="4" l="1"/>
  <c r="BQ1" i="4"/>
  <c r="BS2" i="4" l="1"/>
  <c r="BR1" i="4"/>
  <c r="BT2" i="4" l="1"/>
  <c r="BS1" i="4"/>
  <c r="BU2" i="4" l="1"/>
  <c r="BT1" i="4"/>
  <c r="BV2" i="4" l="1"/>
  <c r="BU1" i="4"/>
  <c r="BW2" i="4" l="1"/>
  <c r="BV1" i="4"/>
  <c r="BX2" i="4" l="1"/>
  <c r="BW1" i="4"/>
  <c r="BX1" i="4" l="1"/>
  <c r="BY2" i="4"/>
  <c r="BY1" i="4" l="1"/>
  <c r="BZ2" i="4"/>
  <c r="CA2" i="4" l="1"/>
  <c r="BZ1" i="4"/>
  <c r="CB2" i="4" l="1"/>
  <c r="CA1" i="4"/>
  <c r="CC2" i="4" l="1"/>
  <c r="CB1" i="4"/>
  <c r="CD2" i="4" l="1"/>
  <c r="CC1" i="4"/>
  <c r="CE2" i="4" l="1"/>
  <c r="CD1" i="4"/>
  <c r="CF2" i="4" l="1"/>
  <c r="CE1" i="4"/>
  <c r="CG2" i="4" l="1"/>
  <c r="CF1" i="4"/>
  <c r="CH2" i="4" l="1"/>
  <c r="CI2" i="4" s="1"/>
  <c r="CG1" i="4"/>
  <c r="CJ2" i="4" l="1"/>
  <c r="CI1" i="4"/>
  <c r="CH1" i="4"/>
  <c r="CK2" i="4" l="1"/>
  <c r="CL2" i="4" s="1"/>
  <c r="CM2" i="4" s="1"/>
  <c r="CJ1" i="4"/>
  <c r="CK1" i="4"/>
  <c r="CN2" i="4" l="1"/>
  <c r="CO2" i="4" s="1"/>
  <c r="CM1" i="4"/>
  <c r="CL1" i="4"/>
  <c r="CN1" i="4" l="1"/>
  <c r="CP2" i="4" l="1"/>
  <c r="CQ2" i="4" l="1"/>
  <c r="CR2" i="4" l="1"/>
  <c r="CS2" i="4" l="1"/>
  <c r="CT2" i="4" l="1"/>
  <c r="CU2" i="4" l="1"/>
  <c r="CV2" i="4" l="1"/>
  <c r="CW2" i="4" l="1"/>
  <c r="CX2" i="4" l="1"/>
  <c r="CW1" i="4"/>
  <c r="D65" i="1" s="1"/>
  <c r="CY2" i="4" l="1"/>
  <c r="CX1" i="4"/>
  <c r="D66" i="1" s="1"/>
  <c r="CY1" i="4" l="1"/>
  <c r="D67" i="1" s="1"/>
  <c r="CZ2" i="4"/>
  <c r="CZ1" i="4" l="1"/>
  <c r="DA2" i="4"/>
  <c r="DB2" i="4" l="1"/>
  <c r="DC2" i="4" l="1"/>
  <c r="DD2" i="4" l="1"/>
  <c r="DE2" i="4" l="1"/>
  <c r="DF2" i="4" l="1"/>
  <c r="DG2" i="4" l="1"/>
  <c r="DH2" i="4" l="1"/>
  <c r="DI2" i="4" l="1"/>
  <c r="DJ2" i="4" l="1"/>
  <c r="DK2" i="4" l="1"/>
  <c r="DL2" i="4" l="1"/>
  <c r="DM2" i="4" l="1"/>
  <c r="DN2" i="4" l="1"/>
  <c r="DO2" i="4" l="1"/>
  <c r="CP68" i="4"/>
  <c r="CQ68" i="4" s="1"/>
  <c r="CP140" i="4"/>
  <c r="CP40" i="4"/>
  <c r="CQ40" i="4" s="1"/>
  <c r="CP114" i="4"/>
  <c r="CQ114" i="4" s="1"/>
  <c r="CP209" i="4"/>
  <c r="CP175" i="4"/>
  <c r="CP14" i="4"/>
  <c r="CP86" i="4"/>
  <c r="CP174" i="4"/>
  <c r="CQ174" i="4" s="1"/>
  <c r="CP39" i="4"/>
  <c r="CQ39" i="4" s="1"/>
  <c r="CP131" i="4"/>
  <c r="CQ131" i="4" s="1"/>
  <c r="CP23" i="4"/>
  <c r="CQ23" i="4" s="1"/>
  <c r="CP196" i="4"/>
  <c r="CQ196" i="4" s="1"/>
  <c r="CP43" i="4"/>
  <c r="CP129" i="4"/>
  <c r="CP108" i="4"/>
  <c r="CQ108" i="4" s="1"/>
  <c r="CP164" i="4"/>
  <c r="CP118" i="4"/>
  <c r="CP7" i="4"/>
  <c r="CQ7" i="4" s="1"/>
  <c r="CP93" i="4"/>
  <c r="CQ93" i="4" s="1"/>
  <c r="CP76" i="4"/>
  <c r="CQ76" i="4" s="1"/>
  <c r="CP94" i="4"/>
  <c r="CP83" i="4"/>
  <c r="CP67" i="4"/>
  <c r="CQ67" i="4" s="1"/>
  <c r="CP33" i="4"/>
  <c r="CP190" i="4"/>
  <c r="CP46" i="4"/>
  <c r="CQ46" i="4" s="1"/>
  <c r="CP45" i="4"/>
  <c r="CQ45" i="4" s="1"/>
  <c r="CP77" i="4"/>
  <c r="CP80" i="4"/>
  <c r="CP60" i="4"/>
  <c r="CQ60" i="4" s="1"/>
  <c r="CP143" i="4"/>
  <c r="CQ143" i="4" s="1"/>
  <c r="CP167" i="4"/>
  <c r="CP109" i="4"/>
  <c r="CQ109" i="4" s="1"/>
  <c r="CP71" i="4"/>
  <c r="CQ71" i="4" s="1"/>
  <c r="CP69" i="4"/>
  <c r="CQ69" i="4" s="1"/>
  <c r="CP57" i="4"/>
  <c r="CP151" i="4"/>
  <c r="CQ151" i="4" s="1"/>
  <c r="CP153" i="4"/>
  <c r="CQ153" i="4" s="1"/>
  <c r="CP26" i="4"/>
  <c r="CQ26" i="4" s="1"/>
  <c r="CP103" i="4"/>
  <c r="CP115" i="4"/>
  <c r="CQ115" i="4" s="1"/>
  <c r="CP200" i="4"/>
  <c r="CP159" i="4"/>
  <c r="CQ159" i="4" s="1"/>
  <c r="CP123" i="4"/>
  <c r="CQ123" i="4" s="1"/>
  <c r="CP91" i="4"/>
  <c r="CP28" i="4"/>
  <c r="CQ28" i="4" s="1"/>
  <c r="CP58" i="4"/>
  <c r="CQ58" i="4" s="1"/>
  <c r="CP205" i="4"/>
  <c r="CP161" i="4"/>
  <c r="CQ161" i="4" s="1"/>
  <c r="CP42" i="4"/>
  <c r="CQ42" i="4" s="1"/>
  <c r="CP34" i="4"/>
  <c r="CP183" i="4"/>
  <c r="CQ183" i="4" s="1"/>
  <c r="CP84" i="4"/>
  <c r="CQ84" i="4" s="1"/>
  <c r="CP79" i="4"/>
  <c r="CP194" i="4"/>
  <c r="CQ194" i="4" s="1"/>
  <c r="CP18" i="4"/>
  <c r="CQ18" i="4" s="1"/>
  <c r="CP160" i="4"/>
  <c r="CP90" i="4"/>
  <c r="CP157" i="4"/>
  <c r="CP65" i="4"/>
  <c r="CQ65" i="4" s="1"/>
  <c r="CP185" i="4"/>
  <c r="CR185" i="4" s="1"/>
  <c r="CP101" i="4"/>
  <c r="CQ101" i="4" s="1"/>
  <c r="CP166" i="4"/>
  <c r="CQ166" i="4" s="1"/>
  <c r="CP54" i="4"/>
  <c r="CQ54" i="4" s="1"/>
  <c r="CP198" i="4"/>
  <c r="CR198" i="4" s="1"/>
  <c r="CP20" i="4"/>
  <c r="CQ20" i="4" s="1"/>
  <c r="CP81" i="4"/>
  <c r="CQ81" i="4" s="1"/>
  <c r="CP96" i="4"/>
  <c r="CP104" i="4"/>
  <c r="CQ104" i="4" s="1"/>
  <c r="CP119" i="4"/>
  <c r="CQ119" i="4" s="1"/>
  <c r="CP8" i="4"/>
  <c r="CQ8" i="4" s="1"/>
  <c r="CP99" i="4"/>
  <c r="CP29" i="4"/>
  <c r="CP72" i="4"/>
  <c r="CQ72" i="4" s="1"/>
  <c r="CP126" i="4"/>
  <c r="CQ126" i="4" s="1"/>
  <c r="CP125" i="4"/>
  <c r="CP110" i="4"/>
  <c r="CQ110" i="4" s="1"/>
  <c r="CP102" i="4"/>
  <c r="CQ102" i="4" s="1"/>
  <c r="CP10" i="4"/>
  <c r="CQ10" i="4" s="1"/>
  <c r="CP31" i="4"/>
  <c r="CP176" i="4"/>
  <c r="CP6" i="4"/>
  <c r="CP17" i="4"/>
  <c r="CQ17" i="4" s="1"/>
  <c r="CP139" i="4"/>
  <c r="CP87" i="4"/>
  <c r="CQ87" i="4" s="1"/>
  <c r="CP146" i="4"/>
  <c r="CQ146" i="4" s="1"/>
  <c r="CP105" i="4"/>
  <c r="CQ105" i="4" s="1"/>
  <c r="CP169" i="4"/>
  <c r="CP55" i="4"/>
  <c r="CP195" i="4"/>
  <c r="CP106" i="4"/>
  <c r="CQ106" i="4" s="1"/>
  <c r="CP148" i="4"/>
  <c r="CP97" i="4"/>
  <c r="CQ97" i="4" s="1"/>
  <c r="CP193" i="4"/>
  <c r="CQ193" i="4" s="1"/>
  <c r="CP197" i="4"/>
  <c r="CQ197" i="4" s="1"/>
  <c r="CP85" i="4"/>
  <c r="CP182" i="4"/>
  <c r="CQ182" i="4" s="1"/>
  <c r="CP134" i="4"/>
  <c r="CQ134" i="4" s="1"/>
  <c r="CP98" i="4"/>
  <c r="CQ98" i="4" s="1"/>
  <c r="CP173" i="4"/>
  <c r="CP51" i="4"/>
  <c r="CQ51" i="4" s="1"/>
  <c r="CP163" i="4"/>
  <c r="CQ163" i="4" s="1"/>
  <c r="CP78" i="4"/>
  <c r="CQ78" i="4" s="1"/>
  <c r="CP66" i="4"/>
  <c r="CP27" i="4"/>
  <c r="CQ27" i="4" s="1"/>
  <c r="CP138" i="4"/>
  <c r="CP61" i="4"/>
  <c r="CQ61" i="4" s="1"/>
  <c r="CP130" i="4"/>
  <c r="CP13" i="4"/>
  <c r="CQ13" i="4" s="1"/>
  <c r="CP128" i="4"/>
  <c r="CQ128" i="4" s="1"/>
  <c r="CP92" i="4"/>
  <c r="CQ92" i="4" s="1"/>
  <c r="CP30" i="4"/>
  <c r="CP154" i="4"/>
  <c r="CP25" i="4"/>
  <c r="CP122" i="4"/>
  <c r="CQ122" i="4" s="1"/>
  <c r="CP158" i="4"/>
  <c r="CP187" i="4"/>
  <c r="CQ187" i="4" s="1"/>
  <c r="CP64" i="4"/>
  <c r="CQ64" i="4" s="1"/>
  <c r="CP155" i="4"/>
  <c r="CP181" i="4"/>
  <c r="CQ181" i="4" s="1"/>
  <c r="CP206" i="4"/>
  <c r="CQ206" i="4" s="1"/>
  <c r="CP53" i="4"/>
  <c r="CQ53" i="4" s="1"/>
  <c r="CP111" i="4"/>
  <c r="CP135" i="4"/>
  <c r="CQ135" i="4" s="1"/>
  <c r="CP11" i="4"/>
  <c r="CQ11" i="4" s="1"/>
  <c r="CP145" i="4"/>
  <c r="CQ145" i="4" s="1"/>
  <c r="CP88" i="4"/>
  <c r="CP107" i="4"/>
  <c r="CP56" i="4"/>
  <c r="CQ56" i="4" s="1"/>
  <c r="CP203" i="4"/>
  <c r="CQ203" i="4" s="1"/>
  <c r="CP141" i="4"/>
  <c r="CQ141" i="4" s="1"/>
  <c r="CP15" i="4"/>
  <c r="CQ15" i="4" s="1"/>
  <c r="CP168" i="4"/>
  <c r="CQ168" i="4" s="1"/>
  <c r="CP178" i="4"/>
  <c r="CR178" i="4" s="1"/>
  <c r="CP24" i="4"/>
  <c r="CP142" i="4"/>
  <c r="CP184" i="4"/>
  <c r="CQ184" i="4" s="1"/>
  <c r="CP144" i="4"/>
  <c r="CP147" i="4"/>
  <c r="CQ147" i="4" s="1"/>
  <c r="CP32" i="4"/>
  <c r="CQ32" i="4" s="1"/>
  <c r="CP177" i="4"/>
  <c r="CQ177" i="4" s="1"/>
  <c r="CP52" i="4"/>
  <c r="CP208" i="4"/>
  <c r="CP127" i="4"/>
  <c r="CP41" i="4"/>
  <c r="CQ41" i="4" s="1"/>
  <c r="CP117" i="4"/>
  <c r="CQ117" i="4" s="1"/>
  <c r="CP152" i="4"/>
  <c r="CQ152" i="4" s="1"/>
  <c r="CP95" i="4"/>
  <c r="CQ95" i="4" s="1"/>
  <c r="CP113" i="4"/>
  <c r="CQ113" i="4" s="1"/>
  <c r="CP116" i="4"/>
  <c r="CP192" i="4"/>
  <c r="CQ192" i="4" s="1"/>
  <c r="CP62" i="4"/>
  <c r="CQ62" i="4" s="1"/>
  <c r="CP188" i="4"/>
  <c r="CQ188" i="4" s="1"/>
  <c r="CP162" i="4"/>
  <c r="CP63" i="4"/>
  <c r="CQ63" i="4" s="1"/>
  <c r="CP121" i="4"/>
  <c r="CQ121" i="4" s="1"/>
  <c r="CP12" i="4"/>
  <c r="CQ12" i="4" s="1"/>
  <c r="CP70" i="4"/>
  <c r="CQ70" i="4" s="1"/>
  <c r="CP44" i="4"/>
  <c r="CQ44" i="4" s="1"/>
  <c r="CP133" i="4"/>
  <c r="CP19" i="4"/>
  <c r="CQ19" i="4" s="1"/>
  <c r="CP207" i="4"/>
  <c r="CP74" i="4"/>
  <c r="CR74" i="4" s="1"/>
  <c r="CP9" i="4"/>
  <c r="CR9" i="4" s="1"/>
  <c r="CP16" i="4"/>
  <c r="CP170" i="4"/>
  <c r="CP180" i="4"/>
  <c r="CQ180" i="4" s="1"/>
  <c r="CP156" i="4"/>
  <c r="CR156" i="4" s="1"/>
  <c r="CP149" i="4"/>
  <c r="CR149" i="4" s="1"/>
  <c r="CP112" i="4"/>
  <c r="CP186" i="4"/>
  <c r="CQ186" i="4" s="1"/>
  <c r="CP120" i="4"/>
  <c r="CR120" i="4" s="1"/>
  <c r="CS120" i="4" s="1"/>
  <c r="CP202" i="4"/>
  <c r="CQ202" i="4" s="1"/>
  <c r="CP36" i="4"/>
  <c r="CR36" i="4" s="1"/>
  <c r="CP191" i="4"/>
  <c r="CQ191" i="4" s="1"/>
  <c r="CP136" i="4"/>
  <c r="CR136" i="4" s="1"/>
  <c r="CP82" i="4"/>
  <c r="CR82" i="4" s="1"/>
  <c r="CP59" i="4"/>
  <c r="CR59" i="4" s="1"/>
  <c r="CP35" i="4"/>
  <c r="CR35" i="4" s="1"/>
  <c r="CP89" i="4"/>
  <c r="CR89" i="4" s="1"/>
  <c r="CP201" i="4"/>
  <c r="CP124" i="4"/>
  <c r="CR124" i="4" s="1"/>
  <c r="CP21" i="4"/>
  <c r="CR21" i="4" s="1"/>
  <c r="CP204" i="4"/>
  <c r="CQ204" i="4" s="1"/>
  <c r="CP150" i="4"/>
  <c r="CP50" i="4"/>
  <c r="CR50" i="4" s="1"/>
  <c r="CP37" i="4"/>
  <c r="CR37" i="4" s="1"/>
  <c r="CS37" i="4" s="1"/>
  <c r="CP137" i="4"/>
  <c r="CR137" i="4" s="1"/>
  <c r="CP172" i="4"/>
  <c r="CQ172" i="4" s="1"/>
  <c r="CP165" i="4"/>
  <c r="CQ165" i="4" s="1"/>
  <c r="CP49" i="4"/>
  <c r="CR49" i="4" s="1"/>
  <c r="CP210" i="4"/>
  <c r="CP179" i="4"/>
  <c r="CR179" i="4" s="1"/>
  <c r="CP171" i="4"/>
  <c r="CR171" i="4" s="1"/>
  <c r="CP48" i="4"/>
  <c r="CR48" i="4" s="1"/>
  <c r="CP75" i="4"/>
  <c r="CR75" i="4" s="1"/>
  <c r="CP47" i="4"/>
  <c r="CR47" i="4" s="1"/>
  <c r="CP22" i="4"/>
  <c r="CR22" i="4" s="1"/>
  <c r="CQ83" i="4" l="1"/>
  <c r="CR83" i="4" s="1"/>
  <c r="CS83" i="4" s="1"/>
  <c r="CQ129" i="4"/>
  <c r="CR129" i="4" s="1"/>
  <c r="CS129" i="4" s="1"/>
  <c r="CQ14" i="4"/>
  <c r="CR14" i="4" s="1"/>
  <c r="CS14" i="4" s="1"/>
  <c r="CQ158" i="4"/>
  <c r="CR158" i="4" s="1"/>
  <c r="CS158" i="4" s="1"/>
  <c r="CQ130" i="4"/>
  <c r="CR130" i="4" s="1"/>
  <c r="CS130" i="4" s="1"/>
  <c r="CQ173" i="4"/>
  <c r="CR173" i="4" s="1"/>
  <c r="CS173" i="4" s="1"/>
  <c r="CQ148" i="4"/>
  <c r="CR148" i="4" s="1"/>
  <c r="CS148" i="4" s="1"/>
  <c r="CQ139" i="4"/>
  <c r="CR139" i="4" s="1"/>
  <c r="CS139" i="4" s="1"/>
  <c r="CQ125" i="4"/>
  <c r="CR125" i="4" s="1"/>
  <c r="CS125" i="4" s="1"/>
  <c r="CQ96" i="4"/>
  <c r="CR96" i="4" s="1"/>
  <c r="CS96" i="4" s="1"/>
  <c r="CQ91" i="4"/>
  <c r="CR91" i="4" s="1"/>
  <c r="CS91" i="4" s="1"/>
  <c r="CQ80" i="4"/>
  <c r="CR80" i="4" s="1"/>
  <c r="CS80" i="4" s="1"/>
  <c r="CQ94" i="4"/>
  <c r="CR94" i="4" s="1"/>
  <c r="CS94" i="4" s="1"/>
  <c r="CQ43" i="4"/>
  <c r="CR43" i="4" s="1"/>
  <c r="CS43" i="4" s="1"/>
  <c r="CQ175" i="4"/>
  <c r="CR175" i="4" s="1"/>
  <c r="CS175" i="4" s="1"/>
  <c r="CQ111" i="4"/>
  <c r="CR111" i="4" s="1"/>
  <c r="CS111" i="4" s="1"/>
  <c r="CQ157" i="4"/>
  <c r="CR157" i="4" s="1"/>
  <c r="CS157" i="4" s="1"/>
  <c r="CQ57" i="4"/>
  <c r="CR57" i="4" s="1"/>
  <c r="CS57" i="4" s="1"/>
  <c r="CQ77" i="4"/>
  <c r="CR77" i="4" s="1"/>
  <c r="CS77" i="4" s="1"/>
  <c r="CQ207" i="4"/>
  <c r="CR207" i="4" s="1"/>
  <c r="CS207" i="4" s="1"/>
  <c r="CQ162" i="4"/>
  <c r="CR162" i="4" s="1"/>
  <c r="CS162" i="4" s="1"/>
  <c r="CQ144" i="4"/>
  <c r="CR144" i="4" s="1"/>
  <c r="CS144" i="4" s="1"/>
  <c r="CQ25" i="4"/>
  <c r="CR25" i="4" s="1"/>
  <c r="CS25" i="4" s="1"/>
  <c r="CQ138" i="4"/>
  <c r="CR138" i="4" s="1"/>
  <c r="CS138" i="4" s="1"/>
  <c r="CQ195" i="4"/>
  <c r="CR195" i="4" s="1"/>
  <c r="CS195" i="4" s="1"/>
  <c r="CQ6" i="4"/>
  <c r="CR6" i="4" s="1"/>
  <c r="CS6" i="4" s="1"/>
  <c r="CQ90" i="4"/>
  <c r="CR90" i="4" s="1"/>
  <c r="CS90" i="4" s="1"/>
  <c r="CQ34" i="4"/>
  <c r="CR34" i="4" s="1"/>
  <c r="CS34" i="4" s="1"/>
  <c r="CQ154" i="4"/>
  <c r="CR154" i="4" s="1"/>
  <c r="CS154" i="4" s="1"/>
  <c r="CQ176" i="4"/>
  <c r="CR176" i="4" s="1"/>
  <c r="CS176" i="4" s="1"/>
  <c r="CQ29" i="4"/>
  <c r="CR29" i="4" s="1"/>
  <c r="CS29" i="4" s="1"/>
  <c r="CQ160" i="4"/>
  <c r="CR160" i="4" s="1"/>
  <c r="CS160" i="4" s="1"/>
  <c r="CQ133" i="4"/>
  <c r="CR133" i="4" s="1"/>
  <c r="CS133" i="4" s="1"/>
  <c r="CQ127" i="4"/>
  <c r="CR127" i="4" s="1"/>
  <c r="CS127" i="4" s="1"/>
  <c r="CQ142" i="4"/>
  <c r="CR142" i="4" s="1"/>
  <c r="CS142" i="4" s="1"/>
  <c r="CQ107" i="4"/>
  <c r="CR107" i="4" s="1"/>
  <c r="CS107" i="4" s="1"/>
  <c r="CQ30" i="4"/>
  <c r="CR30" i="4" s="1"/>
  <c r="CS30" i="4" s="1"/>
  <c r="CQ66" i="4"/>
  <c r="CR66" i="4" s="1"/>
  <c r="CS66" i="4" s="1"/>
  <c r="CQ85" i="4"/>
  <c r="CR85" i="4" s="1"/>
  <c r="CS85" i="4" s="1"/>
  <c r="CQ169" i="4"/>
  <c r="CR169" i="4" s="1"/>
  <c r="CS169" i="4" s="1"/>
  <c r="CQ31" i="4"/>
  <c r="CR31" i="4" s="1"/>
  <c r="CS31" i="4" s="1"/>
  <c r="CQ99" i="4"/>
  <c r="CR99" i="4" s="1"/>
  <c r="CS99" i="4" s="1"/>
  <c r="CQ118" i="4"/>
  <c r="CR118" i="4" s="1"/>
  <c r="CS118" i="4" s="1"/>
  <c r="CQ140" i="4"/>
  <c r="CR140" i="4" s="1"/>
  <c r="CS140" i="4" s="1"/>
  <c r="CQ208" i="4"/>
  <c r="CR208" i="4" s="1"/>
  <c r="CS208" i="4" s="1"/>
  <c r="CQ24" i="4"/>
  <c r="CR24" i="4" s="1"/>
  <c r="CS24" i="4" s="1"/>
  <c r="CQ88" i="4"/>
  <c r="CR88" i="4" s="1"/>
  <c r="CS88" i="4" s="1"/>
  <c r="CQ155" i="4"/>
  <c r="CR155" i="4" s="1"/>
  <c r="CS155" i="4" s="1"/>
  <c r="CQ205" i="4"/>
  <c r="CR205" i="4" s="1"/>
  <c r="CS205" i="4" s="1"/>
  <c r="CQ103" i="4"/>
  <c r="CR103" i="4" s="1"/>
  <c r="CS103" i="4" s="1"/>
  <c r="CQ167" i="4"/>
  <c r="CR167" i="4" s="1"/>
  <c r="CS167" i="4" s="1"/>
  <c r="CQ33" i="4"/>
  <c r="CR33" i="4" s="1"/>
  <c r="CS33" i="4" s="1"/>
  <c r="CQ116" i="4"/>
  <c r="CR116" i="4" s="1"/>
  <c r="CS116" i="4" s="1"/>
  <c r="CQ52" i="4"/>
  <c r="CR52" i="4" s="1"/>
  <c r="CS52" i="4" s="1"/>
  <c r="CQ79" i="4"/>
  <c r="CR79" i="4" s="1"/>
  <c r="CS79" i="4" s="1"/>
  <c r="CQ86" i="4"/>
  <c r="CR86" i="4" s="1"/>
  <c r="CS86" i="4" s="1"/>
  <c r="CQ55" i="4"/>
  <c r="CR55" i="4" s="1"/>
  <c r="CS55" i="4" s="1"/>
  <c r="DF120" i="4"/>
  <c r="DN120" i="4" s="1"/>
  <c r="DE120" i="4"/>
  <c r="DM120" i="4" s="1"/>
  <c r="DD120" i="4"/>
  <c r="DL120" i="4" s="1"/>
  <c r="DC120" i="4"/>
  <c r="DK120" i="4" s="1"/>
  <c r="DF37" i="4"/>
  <c r="DN37" i="4" s="1"/>
  <c r="DE37" i="4"/>
  <c r="DM37" i="4" s="1"/>
  <c r="DD37" i="4"/>
  <c r="DL37" i="4" s="1"/>
  <c r="DC37" i="4"/>
  <c r="DK37" i="4" s="1"/>
  <c r="CR191" i="4"/>
  <c r="CS191" i="4" s="1"/>
  <c r="CR202" i="4"/>
  <c r="CS202" i="4" s="1"/>
  <c r="CR172" i="4"/>
  <c r="CS172" i="4" s="1"/>
  <c r="CR186" i="4"/>
  <c r="CR123" i="4"/>
  <c r="CS123" i="4" s="1"/>
  <c r="CR192" i="4"/>
  <c r="CS192" i="4" s="1"/>
  <c r="CR62" i="4"/>
  <c r="CS62" i="4" s="1"/>
  <c r="CR117" i="4"/>
  <c r="CS117" i="4" s="1"/>
  <c r="CR39" i="4"/>
  <c r="CS39" i="4" s="1"/>
  <c r="CR141" i="4"/>
  <c r="CS141" i="4" s="1"/>
  <c r="CR56" i="4"/>
  <c r="CS56" i="4" s="1"/>
  <c r="CR206" i="4"/>
  <c r="CS206" i="4" s="1"/>
  <c r="CR134" i="4"/>
  <c r="CS134" i="4" s="1"/>
  <c r="CR72" i="4"/>
  <c r="CS72" i="4" s="1"/>
  <c r="CR183" i="4"/>
  <c r="CS183" i="4" s="1"/>
  <c r="CR153" i="4"/>
  <c r="CS153" i="4" s="1"/>
  <c r="CR60" i="4"/>
  <c r="CS60" i="4" s="1"/>
  <c r="CR181" i="4"/>
  <c r="CS181" i="4" s="1"/>
  <c r="CR182" i="4"/>
  <c r="CS182" i="4" s="1"/>
  <c r="CR108" i="4"/>
  <c r="CS108" i="4" s="1"/>
  <c r="CR20" i="4"/>
  <c r="CS20" i="4" s="1"/>
  <c r="CR151" i="4"/>
  <c r="CS151" i="4" s="1"/>
  <c r="CR44" i="4"/>
  <c r="CS44" i="4" s="1"/>
  <c r="CR126" i="4"/>
  <c r="CS126" i="4" s="1"/>
  <c r="CR28" i="4"/>
  <c r="CS28" i="4" s="1"/>
  <c r="CR165" i="4"/>
  <c r="CS165" i="4" s="1"/>
  <c r="CR70" i="4"/>
  <c r="DB37" i="4"/>
  <c r="DJ37" i="4" s="1"/>
  <c r="DA37" i="4"/>
  <c r="DI37" i="4" s="1"/>
  <c r="DG37" i="4"/>
  <c r="DO37" i="4" s="1"/>
  <c r="DB120" i="4"/>
  <c r="DJ120" i="4" s="1"/>
  <c r="DG120" i="4"/>
  <c r="DO120" i="4" s="1"/>
  <c r="DA120" i="4"/>
  <c r="DI120" i="4" s="1"/>
  <c r="CS22" i="4"/>
  <c r="CS21" i="4"/>
  <c r="CS156" i="4"/>
  <c r="CS48" i="4"/>
  <c r="CS178" i="4"/>
  <c r="CR11" i="4"/>
  <c r="CR166" i="4"/>
  <c r="CR71" i="4"/>
  <c r="CS71" i="4" s="1"/>
  <c r="CR114" i="4"/>
  <c r="CS114" i="4" s="1"/>
  <c r="CS171" i="4"/>
  <c r="CS35" i="4"/>
  <c r="CS9" i="4"/>
  <c r="CR180" i="4"/>
  <c r="CS180" i="4" s="1"/>
  <c r="CS74" i="4"/>
  <c r="CR168" i="4"/>
  <c r="CS168" i="4" s="1"/>
  <c r="CR8" i="4"/>
  <c r="CS50" i="4"/>
  <c r="CR200" i="4"/>
  <c r="CR23" i="4"/>
  <c r="CS23" i="4" s="1"/>
  <c r="CS179" i="4"/>
  <c r="CS124" i="4"/>
  <c r="CS36" i="4"/>
  <c r="CR210" i="4"/>
  <c r="CS210" i="4" s="1"/>
  <c r="CR150" i="4"/>
  <c r="CS150" i="4" s="1"/>
  <c r="CR201" i="4"/>
  <c r="CS201" i="4" s="1"/>
  <c r="CR112" i="4"/>
  <c r="CS112" i="4" s="1"/>
  <c r="CR170" i="4"/>
  <c r="CS170" i="4" s="1"/>
  <c r="CS149" i="4"/>
  <c r="CR42" i="4"/>
  <c r="CS42" i="4" s="1"/>
  <c r="CS47" i="4"/>
  <c r="CS59" i="4"/>
  <c r="CS82" i="4"/>
  <c r="CR204" i="4"/>
  <c r="CS204" i="4" s="1"/>
  <c r="CR16" i="4"/>
  <c r="CS16" i="4" s="1"/>
  <c r="CS75" i="4"/>
  <c r="CR32" i="4"/>
  <c r="CS49" i="4"/>
  <c r="CS137" i="4"/>
  <c r="CS89" i="4"/>
  <c r="CS136" i="4"/>
  <c r="CR95" i="4"/>
  <c r="CR64" i="4"/>
  <c r="CR46" i="4"/>
  <c r="CS46" i="4" s="1"/>
  <c r="CR19" i="4"/>
  <c r="CS19" i="4" s="1"/>
  <c r="CR188" i="4"/>
  <c r="CS188" i="4" s="1"/>
  <c r="CR41" i="4"/>
  <c r="CS41" i="4" s="1"/>
  <c r="CR184" i="4"/>
  <c r="CS184" i="4" s="1"/>
  <c r="CR203" i="4"/>
  <c r="CS203" i="4" s="1"/>
  <c r="CR53" i="4"/>
  <c r="CS53" i="4" s="1"/>
  <c r="CR122" i="4"/>
  <c r="CS122" i="4" s="1"/>
  <c r="CR61" i="4"/>
  <c r="CS61" i="4" s="1"/>
  <c r="CR51" i="4"/>
  <c r="CR98" i="4"/>
  <c r="CS98" i="4" s="1"/>
  <c r="CR106" i="4"/>
  <c r="CS106" i="4" s="1"/>
  <c r="CR87" i="4"/>
  <c r="CR17" i="4"/>
  <c r="CS17" i="4" s="1"/>
  <c r="CR81" i="4"/>
  <c r="CS81" i="4" s="1"/>
  <c r="CR65" i="4"/>
  <c r="CS65" i="4" s="1"/>
  <c r="CR84" i="4"/>
  <c r="CS84" i="4" s="1"/>
  <c r="CR58" i="4"/>
  <c r="CS58" i="4" s="1"/>
  <c r="CR26" i="4"/>
  <c r="CS26" i="4" s="1"/>
  <c r="CR143" i="4"/>
  <c r="CS143" i="4" s="1"/>
  <c r="CR67" i="4"/>
  <c r="CS67" i="4" s="1"/>
  <c r="CR164" i="4"/>
  <c r="CS164" i="4" s="1"/>
  <c r="DD164" i="4" s="1"/>
  <c r="CR174" i="4"/>
  <c r="CS174" i="4" s="1"/>
  <c r="CR40" i="4"/>
  <c r="CR68" i="4"/>
  <c r="CS68" i="4" s="1"/>
  <c r="CR63" i="4"/>
  <c r="CS63" i="4" s="1"/>
  <c r="CR152" i="4"/>
  <c r="CS152" i="4" s="1"/>
  <c r="CR147" i="4"/>
  <c r="CS147" i="4" s="1"/>
  <c r="CR135" i="4"/>
  <c r="CS135" i="4" s="1"/>
  <c r="CR187" i="4"/>
  <c r="CS187" i="4" s="1"/>
  <c r="CR13" i="4"/>
  <c r="CS13" i="4" s="1"/>
  <c r="CR97" i="4"/>
  <c r="CS97" i="4" s="1"/>
  <c r="CR110" i="4"/>
  <c r="CS110" i="4" s="1"/>
  <c r="CR104" i="4"/>
  <c r="CS104" i="4" s="1"/>
  <c r="CR101" i="4"/>
  <c r="CS101" i="4" s="1"/>
  <c r="CR161" i="4"/>
  <c r="CS161" i="4" s="1"/>
  <c r="CR115" i="4"/>
  <c r="CS115" i="4" s="1"/>
  <c r="CR109" i="4"/>
  <c r="CS109" i="4" s="1"/>
  <c r="CR190" i="4"/>
  <c r="CS190" i="4" s="1"/>
  <c r="CR131" i="4"/>
  <c r="CS131" i="4" s="1"/>
  <c r="CS198" i="4"/>
  <c r="CR27" i="4"/>
  <c r="CR54" i="4"/>
  <c r="CS54" i="4" s="1"/>
  <c r="CS185" i="4"/>
  <c r="CR18" i="4"/>
  <c r="CS18" i="4" s="1"/>
  <c r="CR159" i="4"/>
  <c r="CS159" i="4" s="1"/>
  <c r="CR69" i="4"/>
  <c r="CS69" i="4" s="1"/>
  <c r="CR76" i="4"/>
  <c r="CS76" i="4" s="1"/>
  <c r="CR196" i="4"/>
  <c r="CS196" i="4" s="1"/>
  <c r="CR209" i="4"/>
  <c r="CS209" i="4" s="1"/>
  <c r="DF79" i="4" l="1"/>
  <c r="DN79" i="4" s="1"/>
  <c r="DG79" i="4"/>
  <c r="DO79" i="4" s="1"/>
  <c r="DB79" i="4"/>
  <c r="DJ79" i="4" s="1"/>
  <c r="DE79" i="4"/>
  <c r="DM79" i="4" s="1"/>
  <c r="DD79" i="4"/>
  <c r="DL79" i="4" s="1"/>
  <c r="DC79" i="4"/>
  <c r="DK79" i="4" s="1"/>
  <c r="DA79" i="4"/>
  <c r="DI79" i="4" s="1"/>
  <c r="BC79" i="4" s="1"/>
  <c r="BE79" i="4" s="1"/>
  <c r="DC127" i="4"/>
  <c r="DK127" i="4" s="1"/>
  <c r="DB127" i="4"/>
  <c r="DJ127" i="4" s="1"/>
  <c r="DA127" i="4"/>
  <c r="DI127" i="4" s="1"/>
  <c r="DF127" i="4"/>
  <c r="DN127" i="4" s="1"/>
  <c r="DG127" i="4"/>
  <c r="DO127" i="4" s="1"/>
  <c r="DE127" i="4"/>
  <c r="DM127" i="4" s="1"/>
  <c r="DD127" i="4"/>
  <c r="DL127" i="4" s="1"/>
  <c r="DF110" i="4"/>
  <c r="DN110" i="4" s="1"/>
  <c r="DE110" i="4"/>
  <c r="DM110" i="4" s="1"/>
  <c r="DD110" i="4"/>
  <c r="DL110" i="4" s="1"/>
  <c r="DC110" i="4"/>
  <c r="DK110" i="4" s="1"/>
  <c r="DF142" i="4"/>
  <c r="DN142" i="4" s="1"/>
  <c r="DE142" i="4"/>
  <c r="DM142" i="4" s="1"/>
  <c r="DD142" i="4"/>
  <c r="DL142" i="4" s="1"/>
  <c r="DC142" i="4"/>
  <c r="DK142" i="4" s="1"/>
  <c r="DF180" i="4"/>
  <c r="DN180" i="4" s="1"/>
  <c r="DE180" i="4"/>
  <c r="DM180" i="4" s="1"/>
  <c r="DD180" i="4"/>
  <c r="DL180" i="4" s="1"/>
  <c r="DC180" i="4"/>
  <c r="DK180" i="4" s="1"/>
  <c r="DE117" i="4"/>
  <c r="DM117" i="4" s="1"/>
  <c r="DD117" i="4"/>
  <c r="DL117" i="4" s="1"/>
  <c r="DC117" i="4"/>
  <c r="DK117" i="4" s="1"/>
  <c r="DF117" i="4"/>
  <c r="DN117" i="4" s="1"/>
  <c r="DF90" i="4"/>
  <c r="DN90" i="4" s="1"/>
  <c r="DE90" i="4"/>
  <c r="DM90" i="4" s="1"/>
  <c r="DD90" i="4"/>
  <c r="DL90" i="4" s="1"/>
  <c r="DC90" i="4"/>
  <c r="DK90" i="4" s="1"/>
  <c r="DF140" i="4"/>
  <c r="DN140" i="4" s="1"/>
  <c r="DE140" i="4"/>
  <c r="DM140" i="4" s="1"/>
  <c r="DD140" i="4"/>
  <c r="DL140" i="4" s="1"/>
  <c r="DC140" i="4"/>
  <c r="DK140" i="4" s="1"/>
  <c r="DE69" i="4"/>
  <c r="DM69" i="4" s="1"/>
  <c r="DD69" i="4"/>
  <c r="DL69" i="4" s="1"/>
  <c r="DC69" i="4"/>
  <c r="DK69" i="4" s="1"/>
  <c r="DF69" i="4"/>
  <c r="DN69" i="4" s="1"/>
  <c r="DF125" i="4"/>
  <c r="DE125" i="4"/>
  <c r="DM125" i="4" s="1"/>
  <c r="DD125" i="4"/>
  <c r="DL125" i="4" s="1"/>
  <c r="DC125" i="4"/>
  <c r="DK125" i="4" s="1"/>
  <c r="DF144" i="4"/>
  <c r="DN144" i="4" s="1"/>
  <c r="DE144" i="4"/>
  <c r="DM144" i="4" s="1"/>
  <c r="DD144" i="4"/>
  <c r="DL144" i="4" s="1"/>
  <c r="DC144" i="4"/>
  <c r="DE109" i="4"/>
  <c r="DM109" i="4" s="1"/>
  <c r="DD109" i="4"/>
  <c r="DL109" i="4" s="1"/>
  <c r="DC109" i="4"/>
  <c r="DK109" i="4" s="1"/>
  <c r="DF109" i="4"/>
  <c r="DN109" i="4" s="1"/>
  <c r="DE6" i="4"/>
  <c r="DM6" i="4" s="1"/>
  <c r="DD6" i="4"/>
  <c r="DL6" i="4" s="1"/>
  <c r="DF6" i="4"/>
  <c r="DN6" i="4" s="1"/>
  <c r="DC6" i="4"/>
  <c r="DK6" i="4" s="1"/>
  <c r="DF147" i="4"/>
  <c r="DN147" i="4" s="1"/>
  <c r="DE147" i="4"/>
  <c r="DM147" i="4" s="1"/>
  <c r="DD147" i="4"/>
  <c r="DL147" i="4" s="1"/>
  <c r="DC147" i="4"/>
  <c r="DK147" i="4" s="1"/>
  <c r="DF43" i="4"/>
  <c r="DN43" i="4" s="1"/>
  <c r="DE43" i="4"/>
  <c r="DM43" i="4" s="1"/>
  <c r="DD43" i="4"/>
  <c r="DL43" i="4" s="1"/>
  <c r="DC43" i="4"/>
  <c r="DK43" i="4" s="1"/>
  <c r="DE26" i="4"/>
  <c r="DM26" i="4" s="1"/>
  <c r="DD26" i="4"/>
  <c r="DL26" i="4" s="1"/>
  <c r="DC26" i="4"/>
  <c r="DK26" i="4" s="1"/>
  <c r="DF26" i="4"/>
  <c r="DN26" i="4" s="1"/>
  <c r="DF31" i="4"/>
  <c r="DN31" i="4" s="1"/>
  <c r="DE31" i="4"/>
  <c r="DM31" i="4" s="1"/>
  <c r="DD31" i="4"/>
  <c r="DL31" i="4" s="1"/>
  <c r="DC31" i="4"/>
  <c r="DK31" i="4" s="1"/>
  <c r="DF66" i="4"/>
  <c r="DN66" i="4" s="1"/>
  <c r="DE66" i="4"/>
  <c r="DM66" i="4" s="1"/>
  <c r="DD66" i="4"/>
  <c r="DL66" i="4" s="1"/>
  <c r="DC66" i="4"/>
  <c r="DK66" i="4" s="1"/>
  <c r="DF184" i="4"/>
  <c r="DN184" i="4" s="1"/>
  <c r="DE184" i="4"/>
  <c r="DM184" i="4" s="1"/>
  <c r="DD184" i="4"/>
  <c r="DL184" i="4" s="1"/>
  <c r="DC184" i="4"/>
  <c r="DE75" i="4"/>
  <c r="DM75" i="4" s="1"/>
  <c r="DD75" i="4"/>
  <c r="DL75" i="4" s="1"/>
  <c r="DC75" i="4"/>
  <c r="DK75" i="4" s="1"/>
  <c r="DF75" i="4"/>
  <c r="DN75" i="4" s="1"/>
  <c r="DF59" i="4"/>
  <c r="DN59" i="4" s="1"/>
  <c r="DE59" i="4"/>
  <c r="DM59" i="4" s="1"/>
  <c r="DD59" i="4"/>
  <c r="DL59" i="4" s="1"/>
  <c r="DC59" i="4"/>
  <c r="DK59" i="4" s="1"/>
  <c r="DF9" i="4"/>
  <c r="DN9" i="4" s="1"/>
  <c r="DE9" i="4"/>
  <c r="DM9" i="4" s="1"/>
  <c r="DD9" i="4"/>
  <c r="DL9" i="4" s="1"/>
  <c r="DC9" i="4"/>
  <c r="DK9" i="4" s="1"/>
  <c r="DE44" i="4"/>
  <c r="DM44" i="4" s="1"/>
  <c r="DD44" i="4"/>
  <c r="DL44" i="4" s="1"/>
  <c r="DC44" i="4"/>
  <c r="DK44" i="4" s="1"/>
  <c r="DF44" i="4"/>
  <c r="DF183" i="4"/>
  <c r="DN183" i="4" s="1"/>
  <c r="DE183" i="4"/>
  <c r="DM183" i="4" s="1"/>
  <c r="DD183" i="4"/>
  <c r="DL183" i="4" s="1"/>
  <c r="DC183" i="4"/>
  <c r="DK183" i="4" s="1"/>
  <c r="DF62" i="4"/>
  <c r="DN62" i="4" s="1"/>
  <c r="DE62" i="4"/>
  <c r="DM62" i="4" s="1"/>
  <c r="DD62" i="4"/>
  <c r="DL62" i="4" s="1"/>
  <c r="DC62" i="4"/>
  <c r="DK62" i="4" s="1"/>
  <c r="DF174" i="4"/>
  <c r="DN174" i="4" s="1"/>
  <c r="DE174" i="4"/>
  <c r="DM174" i="4" s="1"/>
  <c r="DD174" i="4"/>
  <c r="DL174" i="4" s="1"/>
  <c r="DC174" i="4"/>
  <c r="DK174" i="4" s="1"/>
  <c r="DF57" i="4"/>
  <c r="DN57" i="4" s="1"/>
  <c r="DE57" i="4"/>
  <c r="DM57" i="4" s="1"/>
  <c r="DD57" i="4"/>
  <c r="DL57" i="4" s="1"/>
  <c r="DC57" i="4"/>
  <c r="DK57" i="4" s="1"/>
  <c r="DE99" i="4"/>
  <c r="DM99" i="4" s="1"/>
  <c r="DD99" i="4"/>
  <c r="DL99" i="4" s="1"/>
  <c r="DC99" i="4"/>
  <c r="DK99" i="4" s="1"/>
  <c r="DF99" i="4"/>
  <c r="DN99" i="4" s="1"/>
  <c r="DE138" i="4"/>
  <c r="DM138" i="4" s="1"/>
  <c r="DD138" i="4"/>
  <c r="DL138" i="4" s="1"/>
  <c r="DC138" i="4"/>
  <c r="DK138" i="4" s="1"/>
  <c r="DF138" i="4"/>
  <c r="DN138" i="4" s="1"/>
  <c r="DF153" i="4"/>
  <c r="DN153" i="4" s="1"/>
  <c r="DE153" i="4"/>
  <c r="DM153" i="4" s="1"/>
  <c r="DD153" i="4"/>
  <c r="DL153" i="4" s="1"/>
  <c r="DC153" i="4"/>
  <c r="DK153" i="4" s="1"/>
  <c r="DF29" i="4"/>
  <c r="DN29" i="4" s="1"/>
  <c r="DE29" i="4"/>
  <c r="DM29" i="4" s="1"/>
  <c r="DD29" i="4"/>
  <c r="DL29" i="4" s="1"/>
  <c r="DC29" i="4"/>
  <c r="DF209" i="4"/>
  <c r="DN209" i="4" s="1"/>
  <c r="DE209" i="4"/>
  <c r="DM209" i="4" s="1"/>
  <c r="DD209" i="4"/>
  <c r="DL209" i="4" s="1"/>
  <c r="DC209" i="4"/>
  <c r="DK209" i="4" s="1"/>
  <c r="DE103" i="4"/>
  <c r="DM103" i="4" s="1"/>
  <c r="DD103" i="4"/>
  <c r="DL103" i="4" s="1"/>
  <c r="DC103" i="4"/>
  <c r="DK103" i="4" s="1"/>
  <c r="DF103" i="4"/>
  <c r="DF139" i="4"/>
  <c r="DN139" i="4" s="1"/>
  <c r="DE139" i="4"/>
  <c r="DM139" i="4" s="1"/>
  <c r="DD139" i="4"/>
  <c r="DL139" i="4" s="1"/>
  <c r="DC139" i="4"/>
  <c r="DK139" i="4" s="1"/>
  <c r="DF162" i="4"/>
  <c r="DN162" i="4" s="1"/>
  <c r="DE162" i="4"/>
  <c r="DM162" i="4" s="1"/>
  <c r="DD162" i="4"/>
  <c r="DL162" i="4" s="1"/>
  <c r="DC162" i="4"/>
  <c r="DK162" i="4" s="1"/>
  <c r="DE115" i="4"/>
  <c r="DM115" i="4" s="1"/>
  <c r="DD115" i="4"/>
  <c r="DL115" i="4" s="1"/>
  <c r="DC115" i="4"/>
  <c r="DK115" i="4" s="1"/>
  <c r="DF115" i="4"/>
  <c r="DN115" i="4" s="1"/>
  <c r="DF195" i="4"/>
  <c r="DN195" i="4" s="1"/>
  <c r="DE195" i="4"/>
  <c r="DM195" i="4" s="1"/>
  <c r="DD195" i="4"/>
  <c r="DL195" i="4" s="1"/>
  <c r="DC195" i="4"/>
  <c r="DK195" i="4" s="1"/>
  <c r="DF152" i="4"/>
  <c r="DN152" i="4" s="1"/>
  <c r="DE152" i="4"/>
  <c r="DM152" i="4" s="1"/>
  <c r="DD152" i="4"/>
  <c r="DL152" i="4" s="1"/>
  <c r="DC152" i="4"/>
  <c r="DK152" i="4" s="1"/>
  <c r="DF164" i="4"/>
  <c r="DN164" i="4" s="1"/>
  <c r="DE164" i="4"/>
  <c r="DM164" i="4" s="1"/>
  <c r="DC164" i="4"/>
  <c r="DK164" i="4" s="1"/>
  <c r="DE58" i="4"/>
  <c r="DM58" i="4" s="1"/>
  <c r="DD58" i="4"/>
  <c r="DL58" i="4" s="1"/>
  <c r="DC58" i="4"/>
  <c r="DK58" i="4" s="1"/>
  <c r="DF58" i="4"/>
  <c r="DN58" i="4" s="1"/>
  <c r="DF17" i="4"/>
  <c r="DN17" i="4" s="1"/>
  <c r="DE17" i="4"/>
  <c r="DM17" i="4" s="1"/>
  <c r="DD17" i="4"/>
  <c r="DL17" i="4" s="1"/>
  <c r="DC17" i="4"/>
  <c r="DK17" i="4" s="1"/>
  <c r="DE61" i="4"/>
  <c r="DM61" i="4" s="1"/>
  <c r="DD61" i="4"/>
  <c r="DL61" i="4" s="1"/>
  <c r="DC61" i="4"/>
  <c r="DK61" i="4" s="1"/>
  <c r="DF61" i="4"/>
  <c r="DN61" i="4" s="1"/>
  <c r="DE52" i="4"/>
  <c r="DM52" i="4" s="1"/>
  <c r="DD52" i="4"/>
  <c r="DL52" i="4" s="1"/>
  <c r="DC52" i="4"/>
  <c r="DK52" i="4" s="1"/>
  <c r="DF52" i="4"/>
  <c r="DN52" i="4" s="1"/>
  <c r="DF47" i="4"/>
  <c r="DN47" i="4" s="1"/>
  <c r="DE47" i="4"/>
  <c r="DM47" i="4" s="1"/>
  <c r="DD47" i="4"/>
  <c r="DL47" i="4" s="1"/>
  <c r="DC47" i="4"/>
  <c r="DK47" i="4" s="1"/>
  <c r="DE50" i="4"/>
  <c r="DM50" i="4" s="1"/>
  <c r="DD50" i="4"/>
  <c r="DL50" i="4" s="1"/>
  <c r="DC50" i="4"/>
  <c r="DK50" i="4" s="1"/>
  <c r="DF50" i="4"/>
  <c r="DN50" i="4" s="1"/>
  <c r="DF178" i="4"/>
  <c r="DN178" i="4" s="1"/>
  <c r="DE178" i="4"/>
  <c r="DM178" i="4" s="1"/>
  <c r="DD178" i="4"/>
  <c r="DL178" i="4" s="1"/>
  <c r="DC178" i="4"/>
  <c r="DK178" i="4" s="1"/>
  <c r="DF151" i="4"/>
  <c r="DN151" i="4" s="1"/>
  <c r="DE151" i="4"/>
  <c r="DM151" i="4" s="1"/>
  <c r="DD151" i="4"/>
  <c r="DL151" i="4" s="1"/>
  <c r="DC151" i="4"/>
  <c r="DK151" i="4" s="1"/>
  <c r="DF72" i="4"/>
  <c r="DN72" i="4" s="1"/>
  <c r="DE72" i="4"/>
  <c r="DM72" i="4" s="1"/>
  <c r="DD72" i="4"/>
  <c r="DL72" i="4" s="1"/>
  <c r="DC72" i="4"/>
  <c r="DK72" i="4" s="1"/>
  <c r="DF192" i="4"/>
  <c r="DN192" i="4" s="1"/>
  <c r="DE192" i="4"/>
  <c r="DM192" i="4" s="1"/>
  <c r="DD192" i="4"/>
  <c r="DL192" i="4" s="1"/>
  <c r="DC192" i="4"/>
  <c r="DK192" i="4" s="1"/>
  <c r="DE107" i="4"/>
  <c r="DM107" i="4" s="1"/>
  <c r="DD107" i="4"/>
  <c r="DL107" i="4" s="1"/>
  <c r="DC107" i="4"/>
  <c r="DK107" i="4" s="1"/>
  <c r="DF107" i="4"/>
  <c r="DN107" i="4" s="1"/>
  <c r="DF210" i="4"/>
  <c r="DN210" i="4" s="1"/>
  <c r="DE210" i="4"/>
  <c r="DM210" i="4" s="1"/>
  <c r="DD210" i="4"/>
  <c r="DL210" i="4" s="1"/>
  <c r="DC210" i="4"/>
  <c r="DK210" i="4" s="1"/>
  <c r="DE126" i="4"/>
  <c r="DM126" i="4" s="1"/>
  <c r="DD126" i="4"/>
  <c r="DL126" i="4" s="1"/>
  <c r="DC126" i="4"/>
  <c r="DK126" i="4" s="1"/>
  <c r="DF126" i="4"/>
  <c r="DN126" i="4" s="1"/>
  <c r="DE14" i="4"/>
  <c r="DM14" i="4" s="1"/>
  <c r="DD14" i="4"/>
  <c r="DL14" i="4" s="1"/>
  <c r="DC14" i="4"/>
  <c r="DK14" i="4" s="1"/>
  <c r="DF14" i="4"/>
  <c r="DN14" i="4" s="1"/>
  <c r="DF176" i="4"/>
  <c r="DN176" i="4" s="1"/>
  <c r="DE176" i="4"/>
  <c r="DM176" i="4" s="1"/>
  <c r="DD176" i="4"/>
  <c r="DL176" i="4" s="1"/>
  <c r="DC176" i="4"/>
  <c r="DK176" i="4" s="1"/>
  <c r="DF39" i="4"/>
  <c r="DN39" i="4" s="1"/>
  <c r="DE39" i="4"/>
  <c r="DM39" i="4" s="1"/>
  <c r="DD39" i="4"/>
  <c r="DL39" i="4" s="1"/>
  <c r="DC39" i="4"/>
  <c r="DK39" i="4" s="1"/>
  <c r="DF148" i="4"/>
  <c r="DN148" i="4" s="1"/>
  <c r="DE148" i="4"/>
  <c r="DM148" i="4" s="1"/>
  <c r="DD148" i="4"/>
  <c r="DL148" i="4" s="1"/>
  <c r="DC148" i="4"/>
  <c r="DK148" i="4" s="1"/>
  <c r="DE97" i="4"/>
  <c r="DM97" i="4" s="1"/>
  <c r="DD97" i="4"/>
  <c r="DL97" i="4" s="1"/>
  <c r="DC97" i="4"/>
  <c r="DK97" i="4" s="1"/>
  <c r="DF97" i="4"/>
  <c r="DN97" i="4" s="1"/>
  <c r="DE63" i="4"/>
  <c r="DM63" i="4" s="1"/>
  <c r="DD63" i="4"/>
  <c r="DL63" i="4" s="1"/>
  <c r="DC63" i="4"/>
  <c r="DK63" i="4" s="1"/>
  <c r="DF63" i="4"/>
  <c r="DN63" i="4" s="1"/>
  <c r="DE34" i="4"/>
  <c r="DM34" i="4" s="1"/>
  <c r="DD34" i="4"/>
  <c r="DL34" i="4" s="1"/>
  <c r="DC34" i="4"/>
  <c r="DK34" i="4" s="1"/>
  <c r="DF34" i="4"/>
  <c r="DN34" i="4" s="1"/>
  <c r="DE30" i="4"/>
  <c r="DM30" i="4" s="1"/>
  <c r="DD30" i="4"/>
  <c r="DL30" i="4" s="1"/>
  <c r="DC30" i="4"/>
  <c r="DK30" i="4" s="1"/>
  <c r="DF30" i="4"/>
  <c r="DN30" i="4" s="1"/>
  <c r="DF41" i="4"/>
  <c r="DN41" i="4" s="1"/>
  <c r="DE41" i="4"/>
  <c r="DM41" i="4" s="1"/>
  <c r="DD41" i="4"/>
  <c r="DL41" i="4" s="1"/>
  <c r="DC41" i="4"/>
  <c r="DK41" i="4" s="1"/>
  <c r="DF149" i="4"/>
  <c r="DN149" i="4" s="1"/>
  <c r="DE149" i="4"/>
  <c r="DM149" i="4" s="1"/>
  <c r="DD149" i="4"/>
  <c r="DL149" i="4" s="1"/>
  <c r="DC149" i="4"/>
  <c r="DK149" i="4" s="1"/>
  <c r="DE36" i="4"/>
  <c r="DM36" i="4" s="1"/>
  <c r="DD36" i="4"/>
  <c r="DL36" i="4" s="1"/>
  <c r="DC36" i="4"/>
  <c r="DK36" i="4" s="1"/>
  <c r="DF36" i="4"/>
  <c r="DN36" i="4" s="1"/>
  <c r="DF35" i="4"/>
  <c r="DN35" i="4" s="1"/>
  <c r="DE35" i="4"/>
  <c r="DM35" i="4" s="1"/>
  <c r="DD35" i="4"/>
  <c r="DL35" i="4" s="1"/>
  <c r="DC35" i="4"/>
  <c r="DK35" i="4" s="1"/>
  <c r="DE20" i="4"/>
  <c r="DM20" i="4" s="1"/>
  <c r="DD20" i="4"/>
  <c r="DL20" i="4" s="1"/>
  <c r="DF20" i="4"/>
  <c r="DN20" i="4" s="1"/>
  <c r="DC20" i="4"/>
  <c r="DK20" i="4" s="1"/>
  <c r="DF134" i="4"/>
  <c r="DN134" i="4" s="1"/>
  <c r="DE134" i="4"/>
  <c r="DM134" i="4" s="1"/>
  <c r="DD134" i="4"/>
  <c r="DL134" i="4" s="1"/>
  <c r="DC134" i="4"/>
  <c r="DK134" i="4" s="1"/>
  <c r="DF123" i="4"/>
  <c r="DN123" i="4" s="1"/>
  <c r="DE123" i="4"/>
  <c r="DM123" i="4" s="1"/>
  <c r="DD123" i="4"/>
  <c r="DL123" i="4" s="1"/>
  <c r="DC123" i="4"/>
  <c r="DK123" i="4" s="1"/>
  <c r="DF80" i="4"/>
  <c r="DN80" i="4" s="1"/>
  <c r="DE80" i="4"/>
  <c r="DM80" i="4" s="1"/>
  <c r="DD80" i="4"/>
  <c r="DL80" i="4" s="1"/>
  <c r="DC80" i="4"/>
  <c r="DK80" i="4" s="1"/>
  <c r="DF185" i="4"/>
  <c r="DN185" i="4" s="1"/>
  <c r="DE185" i="4"/>
  <c r="DM185" i="4" s="1"/>
  <c r="DD185" i="4"/>
  <c r="DL185" i="4" s="1"/>
  <c r="DC185" i="4"/>
  <c r="DK185" i="4" s="1"/>
  <c r="DF167" i="4"/>
  <c r="DN167" i="4" s="1"/>
  <c r="DE167" i="4"/>
  <c r="DM167" i="4" s="1"/>
  <c r="DD167" i="4"/>
  <c r="DL167" i="4" s="1"/>
  <c r="DC167" i="4"/>
  <c r="DK167" i="4" s="1"/>
  <c r="DF159" i="4"/>
  <c r="DN159" i="4" s="1"/>
  <c r="DE159" i="4"/>
  <c r="DM159" i="4" s="1"/>
  <c r="DD159" i="4"/>
  <c r="DL159" i="4" s="1"/>
  <c r="DC159" i="4"/>
  <c r="DK159" i="4" s="1"/>
  <c r="DF161" i="4"/>
  <c r="DN161" i="4" s="1"/>
  <c r="DE161" i="4"/>
  <c r="DM161" i="4" s="1"/>
  <c r="DD161" i="4"/>
  <c r="DL161" i="4" s="1"/>
  <c r="DC161" i="4"/>
  <c r="DK161" i="4" s="1"/>
  <c r="DF129" i="4"/>
  <c r="DN129" i="4" s="1"/>
  <c r="DE129" i="4"/>
  <c r="DM129" i="4" s="1"/>
  <c r="DD129" i="4"/>
  <c r="DL129" i="4" s="1"/>
  <c r="DC129" i="4"/>
  <c r="DK129" i="4" s="1"/>
  <c r="DF55" i="4"/>
  <c r="DN55" i="4" s="1"/>
  <c r="DE55" i="4"/>
  <c r="DD55" i="4"/>
  <c r="DL55" i="4" s="1"/>
  <c r="DC55" i="4"/>
  <c r="DK55" i="4" s="1"/>
  <c r="DF196" i="4"/>
  <c r="DN196" i="4" s="1"/>
  <c r="DE196" i="4"/>
  <c r="DM196" i="4" s="1"/>
  <c r="DD196" i="4"/>
  <c r="DL196" i="4" s="1"/>
  <c r="DC196" i="4"/>
  <c r="DK196" i="4" s="1"/>
  <c r="DF205" i="4"/>
  <c r="DN205" i="4" s="1"/>
  <c r="DE205" i="4"/>
  <c r="DM205" i="4" s="1"/>
  <c r="DD205" i="4"/>
  <c r="DL205" i="4" s="1"/>
  <c r="DC205" i="4"/>
  <c r="DK205" i="4" s="1"/>
  <c r="DF173" i="4"/>
  <c r="DN173" i="4" s="1"/>
  <c r="DE173" i="4"/>
  <c r="DM173" i="4" s="1"/>
  <c r="DD173" i="4"/>
  <c r="DL173" i="4" s="1"/>
  <c r="DC173" i="4"/>
  <c r="DK173" i="4" s="1"/>
  <c r="DF198" i="4"/>
  <c r="DN198" i="4" s="1"/>
  <c r="DE198" i="4"/>
  <c r="DM198" i="4" s="1"/>
  <c r="DD198" i="4"/>
  <c r="DL198" i="4" s="1"/>
  <c r="DC198" i="4"/>
  <c r="DK198" i="4" s="1"/>
  <c r="DF13" i="4"/>
  <c r="DN13" i="4" s="1"/>
  <c r="DE13" i="4"/>
  <c r="DM13" i="4" s="1"/>
  <c r="DD13" i="4"/>
  <c r="DL13" i="4" s="1"/>
  <c r="DC13" i="4"/>
  <c r="DK13" i="4" s="1"/>
  <c r="DE133" i="4"/>
  <c r="DM133" i="4" s="1"/>
  <c r="DD133" i="4"/>
  <c r="DL133" i="4" s="1"/>
  <c r="DC133" i="4"/>
  <c r="DK133" i="4" s="1"/>
  <c r="DF133" i="4"/>
  <c r="DN133" i="4" s="1"/>
  <c r="DF94" i="4"/>
  <c r="DN94" i="4" s="1"/>
  <c r="DE94" i="4"/>
  <c r="DM94" i="4" s="1"/>
  <c r="DD94" i="4"/>
  <c r="DL94" i="4" s="1"/>
  <c r="DC94" i="4"/>
  <c r="DK94" i="4" s="1"/>
  <c r="DF84" i="4"/>
  <c r="DN84" i="4" s="1"/>
  <c r="DE84" i="4"/>
  <c r="DM84" i="4" s="1"/>
  <c r="DD84" i="4"/>
  <c r="DL84" i="4" s="1"/>
  <c r="DC84" i="4"/>
  <c r="DK84" i="4" s="1"/>
  <c r="DF169" i="4"/>
  <c r="DN169" i="4" s="1"/>
  <c r="DE169" i="4"/>
  <c r="DM169" i="4" s="1"/>
  <c r="DD169" i="4"/>
  <c r="DL169" i="4" s="1"/>
  <c r="DC169" i="4"/>
  <c r="DK169" i="4" s="1"/>
  <c r="DE122" i="4"/>
  <c r="DM122" i="4" s="1"/>
  <c r="DD122" i="4"/>
  <c r="DL122" i="4" s="1"/>
  <c r="DC122" i="4"/>
  <c r="DK122" i="4" s="1"/>
  <c r="DF122" i="4"/>
  <c r="DN122" i="4" s="1"/>
  <c r="DF116" i="4"/>
  <c r="DN116" i="4" s="1"/>
  <c r="DE116" i="4"/>
  <c r="DM116" i="4" s="1"/>
  <c r="DD116" i="4"/>
  <c r="DL116" i="4" s="1"/>
  <c r="DC116" i="4"/>
  <c r="DK116" i="4" s="1"/>
  <c r="DE136" i="4"/>
  <c r="DM136" i="4" s="1"/>
  <c r="DD136" i="4"/>
  <c r="DL136" i="4" s="1"/>
  <c r="DC136" i="4"/>
  <c r="DK136" i="4" s="1"/>
  <c r="DF136" i="4"/>
  <c r="DN136" i="4" s="1"/>
  <c r="DD42" i="4"/>
  <c r="DL42" i="4" s="1"/>
  <c r="DF42" i="4"/>
  <c r="DN42" i="4" s="1"/>
  <c r="DE42" i="4"/>
  <c r="DM42" i="4" s="1"/>
  <c r="DC42" i="4"/>
  <c r="DK42" i="4" s="1"/>
  <c r="DF170" i="4"/>
  <c r="DN170" i="4" s="1"/>
  <c r="DE170" i="4"/>
  <c r="DM170" i="4" s="1"/>
  <c r="DD170" i="4"/>
  <c r="DL170" i="4" s="1"/>
  <c r="DC170" i="4"/>
  <c r="DK170" i="4" s="1"/>
  <c r="DE124" i="4"/>
  <c r="DM124" i="4" s="1"/>
  <c r="DD124" i="4"/>
  <c r="DL124" i="4" s="1"/>
  <c r="DC124" i="4"/>
  <c r="DK124" i="4" s="1"/>
  <c r="DF124" i="4"/>
  <c r="DN124" i="4" s="1"/>
  <c r="DF171" i="4"/>
  <c r="DN171" i="4" s="1"/>
  <c r="DE171" i="4"/>
  <c r="DM171" i="4" s="1"/>
  <c r="DD171" i="4"/>
  <c r="DL171" i="4" s="1"/>
  <c r="DC171" i="4"/>
  <c r="DK171" i="4" s="1"/>
  <c r="DE48" i="4"/>
  <c r="DM48" i="4" s="1"/>
  <c r="DD48" i="4"/>
  <c r="DL48" i="4" s="1"/>
  <c r="DC48" i="4"/>
  <c r="DK48" i="4" s="1"/>
  <c r="DF48" i="4"/>
  <c r="DN48" i="4" s="1"/>
  <c r="DF108" i="4"/>
  <c r="DN108" i="4" s="1"/>
  <c r="DE108" i="4"/>
  <c r="DM108" i="4" s="1"/>
  <c r="DD108" i="4"/>
  <c r="DL108" i="4" s="1"/>
  <c r="DC108" i="4"/>
  <c r="DK108" i="4" s="1"/>
  <c r="DF206" i="4"/>
  <c r="DN206" i="4" s="1"/>
  <c r="DE206" i="4"/>
  <c r="DM206" i="4" s="1"/>
  <c r="DD206" i="4"/>
  <c r="DL206" i="4" s="1"/>
  <c r="DC206" i="4"/>
  <c r="DK206" i="4" s="1"/>
  <c r="DF76" i="4"/>
  <c r="DN76" i="4" s="1"/>
  <c r="DE76" i="4"/>
  <c r="DM76" i="4" s="1"/>
  <c r="DD76" i="4"/>
  <c r="DL76" i="4" s="1"/>
  <c r="DC76" i="4"/>
  <c r="DK76" i="4" s="1"/>
  <c r="DE130" i="4"/>
  <c r="DM130" i="4" s="1"/>
  <c r="DD130" i="4"/>
  <c r="DL130" i="4" s="1"/>
  <c r="DC130" i="4"/>
  <c r="DK130" i="4" s="1"/>
  <c r="DF130" i="4"/>
  <c r="DN130" i="4" s="1"/>
  <c r="DF208" i="4"/>
  <c r="DN208" i="4" s="1"/>
  <c r="DE208" i="4"/>
  <c r="DM208" i="4" s="1"/>
  <c r="DD208" i="4"/>
  <c r="DL208" i="4" s="1"/>
  <c r="DC208" i="4"/>
  <c r="DK208" i="4" s="1"/>
  <c r="DF96" i="4"/>
  <c r="DN96" i="4" s="1"/>
  <c r="DE96" i="4"/>
  <c r="DM96" i="4" s="1"/>
  <c r="DD96" i="4"/>
  <c r="DL96" i="4" s="1"/>
  <c r="DC96" i="4"/>
  <c r="DK96" i="4" s="1"/>
  <c r="DE111" i="4"/>
  <c r="DM111" i="4" s="1"/>
  <c r="DD111" i="4"/>
  <c r="DL111" i="4" s="1"/>
  <c r="DC111" i="4"/>
  <c r="DK111" i="4" s="1"/>
  <c r="DF111" i="4"/>
  <c r="DN111" i="4" s="1"/>
  <c r="DF203" i="4"/>
  <c r="DN203" i="4" s="1"/>
  <c r="DE203" i="4"/>
  <c r="DM203" i="4" s="1"/>
  <c r="DD203" i="4"/>
  <c r="DL203" i="4" s="1"/>
  <c r="DC203" i="4"/>
  <c r="DK203" i="4" s="1"/>
  <c r="DF82" i="4"/>
  <c r="DN82" i="4" s="1"/>
  <c r="DE82" i="4"/>
  <c r="DM82" i="4" s="1"/>
  <c r="DD82" i="4"/>
  <c r="DL82" i="4" s="1"/>
  <c r="DC82" i="4"/>
  <c r="DK82" i="4" s="1"/>
  <c r="DE83" i="4"/>
  <c r="DM83" i="4" s="1"/>
  <c r="DD83" i="4"/>
  <c r="DL83" i="4" s="1"/>
  <c r="DC83" i="4"/>
  <c r="DK83" i="4" s="1"/>
  <c r="DF83" i="4"/>
  <c r="DN83" i="4" s="1"/>
  <c r="DF154" i="4"/>
  <c r="DN154" i="4" s="1"/>
  <c r="DE154" i="4"/>
  <c r="DM154" i="4" s="1"/>
  <c r="DD154" i="4"/>
  <c r="DL154" i="4" s="1"/>
  <c r="DC154" i="4"/>
  <c r="DK154" i="4" s="1"/>
  <c r="DF118" i="4"/>
  <c r="DN118" i="4" s="1"/>
  <c r="DE118" i="4"/>
  <c r="DM118" i="4" s="1"/>
  <c r="DD118" i="4"/>
  <c r="DL118" i="4" s="1"/>
  <c r="DC118" i="4"/>
  <c r="DK118" i="4" s="1"/>
  <c r="DE18" i="4"/>
  <c r="DM18" i="4" s="1"/>
  <c r="DD18" i="4"/>
  <c r="DL18" i="4" s="1"/>
  <c r="DF18" i="4"/>
  <c r="DN18" i="4" s="1"/>
  <c r="DC18" i="4"/>
  <c r="DK18" i="4" s="1"/>
  <c r="DF86" i="4"/>
  <c r="DN86" i="4" s="1"/>
  <c r="DE86" i="4"/>
  <c r="DM86" i="4" s="1"/>
  <c r="DD86" i="4"/>
  <c r="DL86" i="4" s="1"/>
  <c r="DC86" i="4"/>
  <c r="DK86" i="4" s="1"/>
  <c r="DF157" i="4"/>
  <c r="DN157" i="4" s="1"/>
  <c r="DE157" i="4"/>
  <c r="DM157" i="4" s="1"/>
  <c r="DD157" i="4"/>
  <c r="DL157" i="4" s="1"/>
  <c r="DC157" i="4"/>
  <c r="DK157" i="4" s="1"/>
  <c r="DF25" i="4"/>
  <c r="DN25" i="4" s="1"/>
  <c r="DE25" i="4"/>
  <c r="DM25" i="4" s="1"/>
  <c r="DD25" i="4"/>
  <c r="DL25" i="4" s="1"/>
  <c r="DC25" i="4"/>
  <c r="DK25" i="4" s="1"/>
  <c r="DF68" i="4"/>
  <c r="DN68" i="4" s="1"/>
  <c r="DE68" i="4"/>
  <c r="DM68" i="4" s="1"/>
  <c r="DD68" i="4"/>
  <c r="DL68" i="4" s="1"/>
  <c r="DC68" i="4"/>
  <c r="DK68" i="4" s="1"/>
  <c r="DE67" i="4"/>
  <c r="DM67" i="4" s="1"/>
  <c r="DD67" i="4"/>
  <c r="DL67" i="4" s="1"/>
  <c r="DC67" i="4"/>
  <c r="DK67" i="4" s="1"/>
  <c r="DF67" i="4"/>
  <c r="DN67" i="4" s="1"/>
  <c r="DF160" i="4"/>
  <c r="DN160" i="4" s="1"/>
  <c r="DE160" i="4"/>
  <c r="DM160" i="4" s="1"/>
  <c r="DD160" i="4"/>
  <c r="DL160" i="4" s="1"/>
  <c r="DC160" i="4"/>
  <c r="DK160" i="4" s="1"/>
  <c r="DF106" i="4"/>
  <c r="DN106" i="4" s="1"/>
  <c r="DE106" i="4"/>
  <c r="DM106" i="4" s="1"/>
  <c r="DD106" i="4"/>
  <c r="DL106" i="4" s="1"/>
  <c r="DC106" i="4"/>
  <c r="DK106" i="4" s="1"/>
  <c r="DF155" i="4"/>
  <c r="DN155" i="4" s="1"/>
  <c r="DE155" i="4"/>
  <c r="DM155" i="4" s="1"/>
  <c r="DD155" i="4"/>
  <c r="DL155" i="4" s="1"/>
  <c r="DC155" i="4"/>
  <c r="DK155" i="4" s="1"/>
  <c r="DF188" i="4"/>
  <c r="DN188" i="4" s="1"/>
  <c r="DE188" i="4"/>
  <c r="DM188" i="4" s="1"/>
  <c r="DD188" i="4"/>
  <c r="DL188" i="4" s="1"/>
  <c r="DC188" i="4"/>
  <c r="DK188" i="4" s="1"/>
  <c r="DE89" i="4"/>
  <c r="DM89" i="4" s="1"/>
  <c r="DD89" i="4"/>
  <c r="DL89" i="4" s="1"/>
  <c r="DC89" i="4"/>
  <c r="DK89" i="4" s="1"/>
  <c r="DF89" i="4"/>
  <c r="DN89" i="4" s="1"/>
  <c r="DE16" i="4"/>
  <c r="DM16" i="4" s="1"/>
  <c r="DD16" i="4"/>
  <c r="DL16" i="4" s="1"/>
  <c r="DC16" i="4"/>
  <c r="DK16" i="4" s="1"/>
  <c r="DF16" i="4"/>
  <c r="DN16" i="4" s="1"/>
  <c r="DF112" i="4"/>
  <c r="DN112" i="4" s="1"/>
  <c r="DE112" i="4"/>
  <c r="DM112" i="4" s="1"/>
  <c r="DD112" i="4"/>
  <c r="DL112" i="4" s="1"/>
  <c r="DC112" i="4"/>
  <c r="DK112" i="4" s="1"/>
  <c r="DF179" i="4"/>
  <c r="DN179" i="4" s="1"/>
  <c r="DE179" i="4"/>
  <c r="DM179" i="4" s="1"/>
  <c r="DD179" i="4"/>
  <c r="DL179" i="4" s="1"/>
  <c r="DC179" i="4"/>
  <c r="DK179" i="4" s="1"/>
  <c r="DF114" i="4"/>
  <c r="DN114" i="4" s="1"/>
  <c r="DE114" i="4"/>
  <c r="DM114" i="4" s="1"/>
  <c r="DD114" i="4"/>
  <c r="DL114" i="4" s="1"/>
  <c r="DC114" i="4"/>
  <c r="DK114" i="4" s="1"/>
  <c r="DF156" i="4"/>
  <c r="DN156" i="4" s="1"/>
  <c r="DE156" i="4"/>
  <c r="DM156" i="4" s="1"/>
  <c r="DD156" i="4"/>
  <c r="DL156" i="4" s="1"/>
  <c r="DC156" i="4"/>
  <c r="DK156" i="4" s="1"/>
  <c r="DF182" i="4"/>
  <c r="DN182" i="4" s="1"/>
  <c r="DE182" i="4"/>
  <c r="DM182" i="4" s="1"/>
  <c r="DD182" i="4"/>
  <c r="DL182" i="4" s="1"/>
  <c r="DC182" i="4"/>
  <c r="DK182" i="4" s="1"/>
  <c r="DE56" i="4"/>
  <c r="DM56" i="4" s="1"/>
  <c r="DD56" i="4"/>
  <c r="DL56" i="4" s="1"/>
  <c r="DC56" i="4"/>
  <c r="DK56" i="4" s="1"/>
  <c r="DF56" i="4"/>
  <c r="DN56" i="4" s="1"/>
  <c r="DF172" i="4"/>
  <c r="DN172" i="4" s="1"/>
  <c r="DE172" i="4"/>
  <c r="DM172" i="4" s="1"/>
  <c r="DD172" i="4"/>
  <c r="DL172" i="4" s="1"/>
  <c r="DC172" i="4"/>
  <c r="DK172" i="4" s="1"/>
  <c r="DF131" i="4"/>
  <c r="DN131" i="4" s="1"/>
  <c r="DE131" i="4"/>
  <c r="DM131" i="4" s="1"/>
  <c r="DD131" i="4"/>
  <c r="DL131" i="4" s="1"/>
  <c r="DC131" i="4"/>
  <c r="DK131" i="4" s="1"/>
  <c r="DF187" i="4"/>
  <c r="DN187" i="4" s="1"/>
  <c r="DE187" i="4"/>
  <c r="DM187" i="4" s="1"/>
  <c r="DD187" i="4"/>
  <c r="DL187" i="4" s="1"/>
  <c r="DC187" i="4"/>
  <c r="DK187" i="4" s="1"/>
  <c r="DE77" i="4"/>
  <c r="DM77" i="4" s="1"/>
  <c r="DD77" i="4"/>
  <c r="DL77" i="4" s="1"/>
  <c r="DC77" i="4"/>
  <c r="DK77" i="4" s="1"/>
  <c r="DF77" i="4"/>
  <c r="DN77" i="4" s="1"/>
  <c r="DE65" i="4"/>
  <c r="DM65" i="4" s="1"/>
  <c r="DD65" i="4"/>
  <c r="DL65" i="4" s="1"/>
  <c r="DC65" i="4"/>
  <c r="DK65" i="4" s="1"/>
  <c r="DF65" i="4"/>
  <c r="DN65" i="4" s="1"/>
  <c r="DE85" i="4"/>
  <c r="DM85" i="4" s="1"/>
  <c r="DD85" i="4"/>
  <c r="DL85" i="4" s="1"/>
  <c r="DC85" i="4"/>
  <c r="DK85" i="4" s="1"/>
  <c r="DF85" i="4"/>
  <c r="DN85" i="4" s="1"/>
  <c r="DF53" i="4"/>
  <c r="DN53" i="4" s="1"/>
  <c r="DE53" i="4"/>
  <c r="DM53" i="4" s="1"/>
  <c r="DD53" i="4"/>
  <c r="DL53" i="4" s="1"/>
  <c r="DC53" i="4"/>
  <c r="DK53" i="4" s="1"/>
  <c r="DF19" i="4"/>
  <c r="DN19" i="4" s="1"/>
  <c r="DE19" i="4"/>
  <c r="DM19" i="4" s="1"/>
  <c r="DD19" i="4"/>
  <c r="DL19" i="4" s="1"/>
  <c r="DC19" i="4"/>
  <c r="DK19" i="4" s="1"/>
  <c r="DF137" i="4"/>
  <c r="DN137" i="4" s="1"/>
  <c r="DE137" i="4"/>
  <c r="DM137" i="4" s="1"/>
  <c r="DD137" i="4"/>
  <c r="DL137" i="4" s="1"/>
  <c r="DC137" i="4"/>
  <c r="DK137" i="4" s="1"/>
  <c r="DF204" i="4"/>
  <c r="DN204" i="4" s="1"/>
  <c r="DE204" i="4"/>
  <c r="DM204" i="4" s="1"/>
  <c r="DD204" i="4"/>
  <c r="DL204" i="4" s="1"/>
  <c r="DC204" i="4"/>
  <c r="DK204" i="4" s="1"/>
  <c r="DF201" i="4"/>
  <c r="DN201" i="4" s="1"/>
  <c r="DE201" i="4"/>
  <c r="DM201" i="4" s="1"/>
  <c r="DD201" i="4"/>
  <c r="DL201" i="4" s="1"/>
  <c r="DC201" i="4"/>
  <c r="DK201" i="4" s="1"/>
  <c r="DF168" i="4"/>
  <c r="DN168" i="4" s="1"/>
  <c r="DE168" i="4"/>
  <c r="DM168" i="4" s="1"/>
  <c r="DD168" i="4"/>
  <c r="DL168" i="4" s="1"/>
  <c r="DC168" i="4"/>
  <c r="DK168" i="4" s="1"/>
  <c r="DE71" i="4"/>
  <c r="DM71" i="4" s="1"/>
  <c r="DD71" i="4"/>
  <c r="DL71" i="4" s="1"/>
  <c r="DC71" i="4"/>
  <c r="DK71" i="4" s="1"/>
  <c r="DF71" i="4"/>
  <c r="DN71" i="4" s="1"/>
  <c r="DF21" i="4"/>
  <c r="DN21" i="4" s="1"/>
  <c r="DE21" i="4"/>
  <c r="DM21" i="4" s="1"/>
  <c r="DD21" i="4"/>
  <c r="DL21" i="4" s="1"/>
  <c r="DC21" i="4"/>
  <c r="DK21" i="4" s="1"/>
  <c r="DF165" i="4"/>
  <c r="DN165" i="4" s="1"/>
  <c r="DE165" i="4"/>
  <c r="DM165" i="4" s="1"/>
  <c r="DD165" i="4"/>
  <c r="DL165" i="4" s="1"/>
  <c r="DC165" i="4"/>
  <c r="DK165" i="4" s="1"/>
  <c r="DF181" i="4"/>
  <c r="DN181" i="4" s="1"/>
  <c r="DE181" i="4"/>
  <c r="DM181" i="4" s="1"/>
  <c r="DD181" i="4"/>
  <c r="DL181" i="4" s="1"/>
  <c r="DC181" i="4"/>
  <c r="DK181" i="4" s="1"/>
  <c r="DF141" i="4"/>
  <c r="DN141" i="4" s="1"/>
  <c r="DE141" i="4"/>
  <c r="DM141" i="4" s="1"/>
  <c r="DD141" i="4"/>
  <c r="DL141" i="4" s="1"/>
  <c r="DC141" i="4"/>
  <c r="DK141" i="4" s="1"/>
  <c r="DF202" i="4"/>
  <c r="DN202" i="4" s="1"/>
  <c r="DE202" i="4"/>
  <c r="DM202" i="4" s="1"/>
  <c r="DD202" i="4"/>
  <c r="DL202" i="4" s="1"/>
  <c r="DC202" i="4"/>
  <c r="DK202" i="4" s="1"/>
  <c r="DE101" i="4"/>
  <c r="DM101" i="4" s="1"/>
  <c r="DD101" i="4"/>
  <c r="DL101" i="4" s="1"/>
  <c r="DC101" i="4"/>
  <c r="DK101" i="4" s="1"/>
  <c r="DF101" i="4"/>
  <c r="DN101" i="4" s="1"/>
  <c r="DE91" i="4"/>
  <c r="DM91" i="4" s="1"/>
  <c r="DD91" i="4"/>
  <c r="DL91" i="4" s="1"/>
  <c r="DC91" i="4"/>
  <c r="DK91" i="4" s="1"/>
  <c r="DF91" i="4"/>
  <c r="DN91" i="4" s="1"/>
  <c r="DE24" i="4"/>
  <c r="DM24" i="4" s="1"/>
  <c r="DD24" i="4"/>
  <c r="DL24" i="4" s="1"/>
  <c r="DC24" i="4"/>
  <c r="DK24" i="4" s="1"/>
  <c r="DF24" i="4"/>
  <c r="DN24" i="4" s="1"/>
  <c r="DF33" i="4"/>
  <c r="DN33" i="4" s="1"/>
  <c r="DE33" i="4"/>
  <c r="DM33" i="4" s="1"/>
  <c r="DD33" i="4"/>
  <c r="DL33" i="4" s="1"/>
  <c r="DC33" i="4"/>
  <c r="DK33" i="4" s="1"/>
  <c r="DE54" i="4"/>
  <c r="DM54" i="4" s="1"/>
  <c r="DD54" i="4"/>
  <c r="DL54" i="4" s="1"/>
  <c r="DC54" i="4"/>
  <c r="DK54" i="4" s="1"/>
  <c r="DF54" i="4"/>
  <c r="DN54" i="4" s="1"/>
  <c r="DF158" i="4"/>
  <c r="DN158" i="4" s="1"/>
  <c r="DE158" i="4"/>
  <c r="DM158" i="4" s="1"/>
  <c r="DD158" i="4"/>
  <c r="DL158" i="4" s="1"/>
  <c r="DC158" i="4"/>
  <c r="DK158" i="4" s="1"/>
  <c r="DF190" i="4"/>
  <c r="DN190" i="4" s="1"/>
  <c r="DE190" i="4"/>
  <c r="DM190" i="4" s="1"/>
  <c r="DD190" i="4"/>
  <c r="DL190" i="4" s="1"/>
  <c r="DC190" i="4"/>
  <c r="DK190" i="4" s="1"/>
  <c r="DF104" i="4"/>
  <c r="DN104" i="4" s="1"/>
  <c r="DE104" i="4"/>
  <c r="DM104" i="4" s="1"/>
  <c r="DD104" i="4"/>
  <c r="DL104" i="4" s="1"/>
  <c r="DC104" i="4"/>
  <c r="DK104" i="4" s="1"/>
  <c r="DF135" i="4"/>
  <c r="DN135" i="4" s="1"/>
  <c r="DE135" i="4"/>
  <c r="DM135" i="4" s="1"/>
  <c r="DD135" i="4"/>
  <c r="DL135" i="4" s="1"/>
  <c r="DC135" i="4"/>
  <c r="DK135" i="4" s="1"/>
  <c r="DF175" i="4"/>
  <c r="DN175" i="4" s="1"/>
  <c r="DE175" i="4"/>
  <c r="DM175" i="4" s="1"/>
  <c r="DD175" i="4"/>
  <c r="DL175" i="4" s="1"/>
  <c r="DC175" i="4"/>
  <c r="DK175" i="4" s="1"/>
  <c r="DF143" i="4"/>
  <c r="DN143" i="4" s="1"/>
  <c r="DE143" i="4"/>
  <c r="DM143" i="4" s="1"/>
  <c r="DD143" i="4"/>
  <c r="DL143" i="4" s="1"/>
  <c r="DC143" i="4"/>
  <c r="DK143" i="4" s="1"/>
  <c r="DE81" i="4"/>
  <c r="DM81" i="4" s="1"/>
  <c r="DD81" i="4"/>
  <c r="DL81" i="4" s="1"/>
  <c r="DC81" i="4"/>
  <c r="DK81" i="4" s="1"/>
  <c r="DF81" i="4"/>
  <c r="DN81" i="4" s="1"/>
  <c r="DF98" i="4"/>
  <c r="DN98" i="4" s="1"/>
  <c r="DE98" i="4"/>
  <c r="DM98" i="4" s="1"/>
  <c r="DD98" i="4"/>
  <c r="DL98" i="4" s="1"/>
  <c r="DC98" i="4"/>
  <c r="DK98" i="4" s="1"/>
  <c r="DF88" i="4"/>
  <c r="DN88" i="4" s="1"/>
  <c r="DE88" i="4"/>
  <c r="DM88" i="4" s="1"/>
  <c r="DD88" i="4"/>
  <c r="DL88" i="4" s="1"/>
  <c r="DC88" i="4"/>
  <c r="DK88" i="4" s="1"/>
  <c r="DE46" i="4"/>
  <c r="DM46" i="4" s="1"/>
  <c r="DD46" i="4"/>
  <c r="DL46" i="4" s="1"/>
  <c r="DC46" i="4"/>
  <c r="DK46" i="4" s="1"/>
  <c r="DF46" i="4"/>
  <c r="DN46" i="4" s="1"/>
  <c r="DF49" i="4"/>
  <c r="DN49" i="4" s="1"/>
  <c r="DE49" i="4"/>
  <c r="DM49" i="4" s="1"/>
  <c r="DD49" i="4"/>
  <c r="DL49" i="4" s="1"/>
  <c r="DC49" i="4"/>
  <c r="DK49" i="4" s="1"/>
  <c r="DF150" i="4"/>
  <c r="DN150" i="4" s="1"/>
  <c r="DE150" i="4"/>
  <c r="DM150" i="4" s="1"/>
  <c r="DD150" i="4"/>
  <c r="DL150" i="4" s="1"/>
  <c r="DC150" i="4"/>
  <c r="DK150" i="4" s="1"/>
  <c r="DF23" i="4"/>
  <c r="DN23" i="4" s="1"/>
  <c r="DE23" i="4"/>
  <c r="DM23" i="4" s="1"/>
  <c r="DD23" i="4"/>
  <c r="DL23" i="4" s="1"/>
  <c r="DC23" i="4"/>
  <c r="DK23" i="4" s="1"/>
  <c r="DF74" i="4"/>
  <c r="DN74" i="4" s="1"/>
  <c r="DE74" i="4"/>
  <c r="DM74" i="4" s="1"/>
  <c r="DD74" i="4"/>
  <c r="DL74" i="4" s="1"/>
  <c r="DC74" i="4"/>
  <c r="DK74" i="4" s="1"/>
  <c r="DE22" i="4"/>
  <c r="DM22" i="4" s="1"/>
  <c r="DD22" i="4"/>
  <c r="DL22" i="4" s="1"/>
  <c r="DC22" i="4"/>
  <c r="DK22" i="4" s="1"/>
  <c r="DF22" i="4"/>
  <c r="DN22" i="4" s="1"/>
  <c r="DE28" i="4"/>
  <c r="DM28" i="4" s="1"/>
  <c r="DC28" i="4"/>
  <c r="DK28" i="4" s="1"/>
  <c r="DD28" i="4"/>
  <c r="DL28" i="4" s="1"/>
  <c r="DF28" i="4"/>
  <c r="DN28" i="4" s="1"/>
  <c r="DE60" i="4"/>
  <c r="DM60" i="4" s="1"/>
  <c r="DD60" i="4"/>
  <c r="DL60" i="4" s="1"/>
  <c r="DC60" i="4"/>
  <c r="DK60" i="4" s="1"/>
  <c r="DF60" i="4"/>
  <c r="DN60" i="4" s="1"/>
  <c r="DF191" i="4"/>
  <c r="DN191" i="4" s="1"/>
  <c r="DE191" i="4"/>
  <c r="DM191" i="4" s="1"/>
  <c r="DD191" i="4"/>
  <c r="DL191" i="4" s="1"/>
  <c r="DC191" i="4"/>
  <c r="DK191" i="4" s="1"/>
  <c r="DF207" i="4"/>
  <c r="DN207" i="4" s="1"/>
  <c r="DE207" i="4"/>
  <c r="DM207" i="4" s="1"/>
  <c r="DC207" i="4"/>
  <c r="DK207" i="4" s="1"/>
  <c r="DD207" i="4"/>
  <c r="DL207" i="4" s="1"/>
  <c r="CS186" i="4"/>
  <c r="DB186" i="4" s="1"/>
  <c r="DJ186" i="4" s="1"/>
  <c r="DA141" i="4"/>
  <c r="DI141" i="4" s="1"/>
  <c r="DG141" i="4"/>
  <c r="DO141" i="4" s="1"/>
  <c r="DB141" i="4"/>
  <c r="DJ141" i="4" s="1"/>
  <c r="DA28" i="4"/>
  <c r="DI28" i="4" s="1"/>
  <c r="DG28" i="4"/>
  <c r="DO28" i="4" s="1"/>
  <c r="DB28" i="4"/>
  <c r="DJ28" i="4" s="1"/>
  <c r="DG165" i="4"/>
  <c r="DO165" i="4" s="1"/>
  <c r="DA165" i="4"/>
  <c r="DI165" i="4" s="1"/>
  <c r="DB165" i="4"/>
  <c r="DJ165" i="4" s="1"/>
  <c r="DA126" i="4"/>
  <c r="DI126" i="4" s="1"/>
  <c r="DG126" i="4"/>
  <c r="DO126" i="4" s="1"/>
  <c r="DB126" i="4"/>
  <c r="DJ126" i="4" s="1"/>
  <c r="DB108" i="4"/>
  <c r="DJ108" i="4" s="1"/>
  <c r="DA108" i="4"/>
  <c r="DI108" i="4" s="1"/>
  <c r="DG108" i="4"/>
  <c r="DO108" i="4" s="1"/>
  <c r="CS8" i="4"/>
  <c r="CS32" i="4"/>
  <c r="CS11" i="4"/>
  <c r="CR45" i="4"/>
  <c r="CS45" i="4" s="1"/>
  <c r="CS51" i="4"/>
  <c r="CR128" i="4"/>
  <c r="CS128" i="4" s="1"/>
  <c r="CR93" i="4"/>
  <c r="CS93" i="4" s="1"/>
  <c r="CR78" i="4"/>
  <c r="CS78" i="4" s="1"/>
  <c r="CS70" i="4"/>
  <c r="CS200" i="4"/>
  <c r="CS95" i="4"/>
  <c r="CS87" i="4"/>
  <c r="CS166" i="4"/>
  <c r="CR193" i="4"/>
  <c r="CS193" i="4" s="1"/>
  <c r="DG65" i="4"/>
  <c r="DO65" i="4" s="1"/>
  <c r="DB65" i="4"/>
  <c r="DJ65" i="4" s="1"/>
  <c r="DA65" i="4"/>
  <c r="DI65" i="4" s="1"/>
  <c r="DB188" i="4"/>
  <c r="DJ188" i="4" s="1"/>
  <c r="DA188" i="4"/>
  <c r="DI188" i="4" s="1"/>
  <c r="DG188" i="4"/>
  <c r="DO188" i="4" s="1"/>
  <c r="DG201" i="4"/>
  <c r="DO201" i="4" s="1"/>
  <c r="DA201" i="4"/>
  <c r="DI201" i="4" s="1"/>
  <c r="DB201" i="4"/>
  <c r="DJ201" i="4" s="1"/>
  <c r="DG112" i="4"/>
  <c r="DO112" i="4" s="1"/>
  <c r="DA112" i="4"/>
  <c r="DI112" i="4" s="1"/>
  <c r="DB112" i="4"/>
  <c r="DJ112" i="4" s="1"/>
  <c r="DB18" i="4"/>
  <c r="DJ18" i="4" s="1"/>
  <c r="DG18" i="4"/>
  <c r="DO18" i="4" s="1"/>
  <c r="DA18" i="4"/>
  <c r="DI18" i="4" s="1"/>
  <c r="DB135" i="4"/>
  <c r="DJ135" i="4" s="1"/>
  <c r="DG135" i="4"/>
  <c r="DO135" i="4" s="1"/>
  <c r="DA135" i="4"/>
  <c r="DI135" i="4" s="1"/>
  <c r="DG143" i="4"/>
  <c r="DO143" i="4" s="1"/>
  <c r="DA143" i="4"/>
  <c r="DI143" i="4" s="1"/>
  <c r="DB143" i="4"/>
  <c r="DJ143" i="4" s="1"/>
  <c r="DG53" i="4"/>
  <c r="DO53" i="4" s="1"/>
  <c r="DB53" i="4"/>
  <c r="DJ53" i="4" s="1"/>
  <c r="DA53" i="4"/>
  <c r="DI53" i="4" s="1"/>
  <c r="DA16" i="4"/>
  <c r="DI16" i="4" s="1"/>
  <c r="DG16" i="4"/>
  <c r="DO16" i="4" s="1"/>
  <c r="DB16" i="4"/>
  <c r="DJ16" i="4" s="1"/>
  <c r="DG150" i="4"/>
  <c r="DO150" i="4" s="1"/>
  <c r="DB150" i="4"/>
  <c r="DJ150" i="4" s="1"/>
  <c r="DA150" i="4"/>
  <c r="DI150" i="4" s="1"/>
  <c r="DG23" i="4"/>
  <c r="DO23" i="4" s="1"/>
  <c r="DB23" i="4"/>
  <c r="DJ23" i="4" s="1"/>
  <c r="DA23" i="4"/>
  <c r="DI23" i="4" s="1"/>
  <c r="DG76" i="4"/>
  <c r="DO76" i="4" s="1"/>
  <c r="DA76" i="4"/>
  <c r="DI76" i="4" s="1"/>
  <c r="DB76" i="4"/>
  <c r="DJ76" i="4" s="1"/>
  <c r="DB63" i="4"/>
  <c r="DJ63" i="4" s="1"/>
  <c r="DG63" i="4"/>
  <c r="DO63" i="4" s="1"/>
  <c r="DA63" i="4"/>
  <c r="DI63" i="4" s="1"/>
  <c r="DB122" i="4"/>
  <c r="DJ122" i="4" s="1"/>
  <c r="DA122" i="4"/>
  <c r="DI122" i="4" s="1"/>
  <c r="DG122" i="4"/>
  <c r="DO122" i="4" s="1"/>
  <c r="DG109" i="4"/>
  <c r="DO109" i="4" s="1"/>
  <c r="DB109" i="4"/>
  <c r="DJ109" i="4" s="1"/>
  <c r="DA109" i="4"/>
  <c r="DI109" i="4" s="1"/>
  <c r="DB174" i="4"/>
  <c r="DJ174" i="4" s="1"/>
  <c r="DA174" i="4"/>
  <c r="DI174" i="4" s="1"/>
  <c r="DG174" i="4"/>
  <c r="DO174" i="4" s="1"/>
  <c r="DG81" i="4"/>
  <c r="DO81" i="4" s="1"/>
  <c r="DB81" i="4"/>
  <c r="DJ81" i="4" s="1"/>
  <c r="DA81" i="4"/>
  <c r="DI81" i="4" s="1"/>
  <c r="DA204" i="4"/>
  <c r="DI204" i="4" s="1"/>
  <c r="DG204" i="4"/>
  <c r="DO204" i="4" s="1"/>
  <c r="DB204" i="4"/>
  <c r="DJ204" i="4" s="1"/>
  <c r="DB210" i="4"/>
  <c r="DJ210" i="4" s="1"/>
  <c r="DA210" i="4"/>
  <c r="DI210" i="4" s="1"/>
  <c r="DG210" i="4"/>
  <c r="DO210" i="4" s="1"/>
  <c r="DG114" i="4"/>
  <c r="DO114" i="4" s="1"/>
  <c r="DA114" i="4"/>
  <c r="DI114" i="4" s="1"/>
  <c r="DB114" i="4"/>
  <c r="DJ114" i="4" s="1"/>
  <c r="DG71" i="4"/>
  <c r="DO71" i="4" s="1"/>
  <c r="DB71" i="4"/>
  <c r="DJ71" i="4" s="1"/>
  <c r="DA71" i="4"/>
  <c r="DI71" i="4" s="1"/>
  <c r="DG168" i="4"/>
  <c r="DO168" i="4" s="1"/>
  <c r="DB168" i="4"/>
  <c r="DJ168" i="4" s="1"/>
  <c r="DA168" i="4"/>
  <c r="DI168" i="4" s="1"/>
  <c r="BC37" i="4"/>
  <c r="BE37" i="4" s="1"/>
  <c r="DG67" i="4"/>
  <c r="DO67" i="4" s="1"/>
  <c r="DB67" i="4"/>
  <c r="DJ67" i="4" s="1"/>
  <c r="DA67" i="4"/>
  <c r="DI67" i="4" s="1"/>
  <c r="DB69" i="4"/>
  <c r="DJ69" i="4" s="1"/>
  <c r="DA69" i="4"/>
  <c r="DI69" i="4" s="1"/>
  <c r="DG69" i="4"/>
  <c r="DO69" i="4" s="1"/>
  <c r="DB115" i="4"/>
  <c r="DJ115" i="4" s="1"/>
  <c r="DA115" i="4"/>
  <c r="DI115" i="4" s="1"/>
  <c r="DG115" i="4"/>
  <c r="DO115" i="4" s="1"/>
  <c r="DB164" i="4"/>
  <c r="DJ164" i="4" s="1"/>
  <c r="DG164" i="4"/>
  <c r="DO164" i="4" s="1"/>
  <c r="DL164" i="4"/>
  <c r="DA164" i="4"/>
  <c r="DI164" i="4" s="1"/>
  <c r="DG196" i="4"/>
  <c r="DO196" i="4" s="1"/>
  <c r="DA196" i="4"/>
  <c r="DI196" i="4" s="1"/>
  <c r="DB196" i="4"/>
  <c r="DJ196" i="4" s="1"/>
  <c r="DB131" i="4"/>
  <c r="DJ131" i="4" s="1"/>
  <c r="DG131" i="4"/>
  <c r="DO131" i="4" s="1"/>
  <c r="DA131" i="4"/>
  <c r="DI131" i="4" s="1"/>
  <c r="DA161" i="4"/>
  <c r="DI161" i="4" s="1"/>
  <c r="DG161" i="4"/>
  <c r="DO161" i="4" s="1"/>
  <c r="DB161" i="4"/>
  <c r="DJ161" i="4" s="1"/>
  <c r="DG110" i="4"/>
  <c r="DO110" i="4" s="1"/>
  <c r="DA110" i="4"/>
  <c r="DI110" i="4" s="1"/>
  <c r="DB110" i="4"/>
  <c r="DJ110" i="4" s="1"/>
  <c r="DA17" i="4"/>
  <c r="DI17" i="4" s="1"/>
  <c r="DG17" i="4"/>
  <c r="DO17" i="4" s="1"/>
  <c r="DB17" i="4"/>
  <c r="DJ17" i="4" s="1"/>
  <c r="DB61" i="4"/>
  <c r="DJ61" i="4" s="1"/>
  <c r="DG61" i="4"/>
  <c r="DO61" i="4" s="1"/>
  <c r="DA61" i="4"/>
  <c r="DI61" i="4" s="1"/>
  <c r="BC127" i="4"/>
  <c r="BE127" i="4" s="1"/>
  <c r="DG68" i="4"/>
  <c r="DO68" i="4" s="1"/>
  <c r="DB68" i="4"/>
  <c r="DJ68" i="4" s="1"/>
  <c r="DA68" i="4"/>
  <c r="DI68" i="4" s="1"/>
  <c r="DG104" i="4"/>
  <c r="DO104" i="4" s="1"/>
  <c r="DB104" i="4"/>
  <c r="DJ104" i="4" s="1"/>
  <c r="DA104" i="4"/>
  <c r="DI104" i="4" s="1"/>
  <c r="DG203" i="4"/>
  <c r="DO203" i="4" s="1"/>
  <c r="DA203" i="4"/>
  <c r="DI203" i="4" s="1"/>
  <c r="DB203" i="4"/>
  <c r="DJ203" i="4" s="1"/>
  <c r="DB13" i="4"/>
  <c r="DJ13" i="4" s="1"/>
  <c r="DG13" i="4"/>
  <c r="DO13" i="4" s="1"/>
  <c r="DA13" i="4"/>
  <c r="DI13" i="4" s="1"/>
  <c r="DG58" i="4"/>
  <c r="DO58" i="4" s="1"/>
  <c r="DB58" i="4"/>
  <c r="DJ58" i="4" s="1"/>
  <c r="DA58" i="4"/>
  <c r="DI58" i="4" s="1"/>
  <c r="DG184" i="4"/>
  <c r="DO184" i="4" s="1"/>
  <c r="DB184" i="4"/>
  <c r="DJ184" i="4" s="1"/>
  <c r="DK184" i="4"/>
  <c r="DA184" i="4"/>
  <c r="DI184" i="4" s="1"/>
  <c r="DA84" i="4"/>
  <c r="DI84" i="4" s="1"/>
  <c r="DG84" i="4"/>
  <c r="DO84" i="4" s="1"/>
  <c r="DB84" i="4"/>
  <c r="DJ84" i="4" s="1"/>
  <c r="DG41" i="4"/>
  <c r="DO41" i="4" s="1"/>
  <c r="DB41" i="4"/>
  <c r="DJ41" i="4" s="1"/>
  <c r="DA41" i="4"/>
  <c r="DI41" i="4" s="1"/>
  <c r="DG42" i="4"/>
  <c r="DO42" i="4" s="1"/>
  <c r="DB42" i="4"/>
  <c r="DJ42" i="4" s="1"/>
  <c r="DA42" i="4"/>
  <c r="DI42" i="4" s="1"/>
  <c r="DG170" i="4"/>
  <c r="DO170" i="4" s="1"/>
  <c r="DA170" i="4"/>
  <c r="DI170" i="4" s="1"/>
  <c r="DB170" i="4"/>
  <c r="DJ170" i="4" s="1"/>
  <c r="DG29" i="4"/>
  <c r="DO29" i="4" s="1"/>
  <c r="DA29" i="4"/>
  <c r="DI29" i="4" s="1"/>
  <c r="DB29" i="4"/>
  <c r="DJ29" i="4" s="1"/>
  <c r="DK29" i="4"/>
  <c r="DB208" i="4"/>
  <c r="DJ208" i="4" s="1"/>
  <c r="DA208" i="4"/>
  <c r="DI208" i="4" s="1"/>
  <c r="DG208" i="4"/>
  <c r="DO208" i="4" s="1"/>
  <c r="DA26" i="4"/>
  <c r="DI26" i="4" s="1"/>
  <c r="DB26" i="4"/>
  <c r="DJ26" i="4" s="1"/>
  <c r="DG26" i="4"/>
  <c r="DO26" i="4" s="1"/>
  <c r="DB46" i="4"/>
  <c r="DJ46" i="4" s="1"/>
  <c r="DG46" i="4"/>
  <c r="DO46" i="4" s="1"/>
  <c r="DA46" i="4"/>
  <c r="DI46" i="4" s="1"/>
  <c r="DB49" i="4"/>
  <c r="DJ49" i="4" s="1"/>
  <c r="DA49" i="4"/>
  <c r="DI49" i="4" s="1"/>
  <c r="DG49" i="4"/>
  <c r="DO49" i="4" s="1"/>
  <c r="DB209" i="4"/>
  <c r="DJ209" i="4" s="1"/>
  <c r="DG209" i="4"/>
  <c r="DO209" i="4" s="1"/>
  <c r="DA209" i="4"/>
  <c r="DI209" i="4" s="1"/>
  <c r="DG198" i="4"/>
  <c r="DO198" i="4" s="1"/>
  <c r="DB198" i="4"/>
  <c r="DJ198" i="4" s="1"/>
  <c r="DA198" i="4"/>
  <c r="DI198" i="4" s="1"/>
  <c r="DB153" i="4"/>
  <c r="DJ153" i="4" s="1"/>
  <c r="DA153" i="4"/>
  <c r="DI153" i="4" s="1"/>
  <c r="DG153" i="4"/>
  <c r="DO153" i="4" s="1"/>
  <c r="DA142" i="4"/>
  <c r="DI142" i="4" s="1"/>
  <c r="DG142" i="4"/>
  <c r="DO142" i="4" s="1"/>
  <c r="DB142" i="4"/>
  <c r="DJ142" i="4" s="1"/>
  <c r="DB77" i="4"/>
  <c r="DJ77" i="4" s="1"/>
  <c r="DG77" i="4"/>
  <c r="DO77" i="4" s="1"/>
  <c r="DA77" i="4"/>
  <c r="DI77" i="4" s="1"/>
  <c r="DG155" i="4"/>
  <c r="DO155" i="4" s="1"/>
  <c r="DB155" i="4"/>
  <c r="DJ155" i="4" s="1"/>
  <c r="DA155" i="4"/>
  <c r="DI155" i="4" s="1"/>
  <c r="CR194" i="4"/>
  <c r="CS194" i="4" s="1"/>
  <c r="CS64" i="4"/>
  <c r="DG82" i="4"/>
  <c r="DO82" i="4" s="1"/>
  <c r="DA82" i="4"/>
  <c r="DI82" i="4" s="1"/>
  <c r="DB82" i="4"/>
  <c r="DJ82" i="4" s="1"/>
  <c r="CR10" i="4"/>
  <c r="CS10" i="4" s="1"/>
  <c r="CR177" i="4"/>
  <c r="CS177" i="4" s="1"/>
  <c r="CR163" i="4"/>
  <c r="CS163" i="4" s="1"/>
  <c r="DA179" i="4"/>
  <c r="DI179" i="4" s="1"/>
  <c r="DB179" i="4"/>
  <c r="DJ179" i="4" s="1"/>
  <c r="DG179" i="4"/>
  <c r="DO179" i="4" s="1"/>
  <c r="CR12" i="4"/>
  <c r="CS12" i="4" s="1"/>
  <c r="DB35" i="4"/>
  <c r="DJ35" i="4" s="1"/>
  <c r="DG35" i="4"/>
  <c r="DO35" i="4" s="1"/>
  <c r="DA35" i="4"/>
  <c r="DI35" i="4" s="1"/>
  <c r="DG123" i="4"/>
  <c r="DO123" i="4" s="1"/>
  <c r="DB123" i="4"/>
  <c r="DJ123" i="4" s="1"/>
  <c r="DA123" i="4"/>
  <c r="DI123" i="4" s="1"/>
  <c r="DB191" i="4"/>
  <c r="DJ191" i="4" s="1"/>
  <c r="DA191" i="4"/>
  <c r="DI191" i="4" s="1"/>
  <c r="DG191" i="4"/>
  <c r="DO191" i="4" s="1"/>
  <c r="DB173" i="4"/>
  <c r="DJ173" i="4" s="1"/>
  <c r="DG173" i="4"/>
  <c r="DO173" i="4" s="1"/>
  <c r="DA173" i="4"/>
  <c r="DI173" i="4" s="1"/>
  <c r="DB54" i="4"/>
  <c r="DJ54" i="4" s="1"/>
  <c r="DA54" i="4"/>
  <c r="DI54" i="4" s="1"/>
  <c r="DG54" i="4"/>
  <c r="DO54" i="4" s="1"/>
  <c r="DA134" i="4"/>
  <c r="DI134" i="4" s="1"/>
  <c r="DG134" i="4"/>
  <c r="DO134" i="4" s="1"/>
  <c r="DB134" i="4"/>
  <c r="DJ134" i="4" s="1"/>
  <c r="DB97" i="4"/>
  <c r="DJ97" i="4" s="1"/>
  <c r="DA97" i="4"/>
  <c r="DI97" i="4" s="1"/>
  <c r="DG97" i="4"/>
  <c r="DO97" i="4" s="1"/>
  <c r="DB124" i="4"/>
  <c r="DJ124" i="4" s="1"/>
  <c r="DG124" i="4"/>
  <c r="DO124" i="4" s="1"/>
  <c r="DA124" i="4"/>
  <c r="DI124" i="4" s="1"/>
  <c r="DB83" i="4"/>
  <c r="DJ83" i="4" s="1"/>
  <c r="DG83" i="4"/>
  <c r="DO83" i="4" s="1"/>
  <c r="DA83" i="4"/>
  <c r="DI83" i="4" s="1"/>
  <c r="DA55" i="4"/>
  <c r="DI55" i="4" s="1"/>
  <c r="DG55" i="4"/>
  <c r="DO55" i="4" s="1"/>
  <c r="DM55" i="4"/>
  <c r="DB55" i="4"/>
  <c r="DJ55" i="4" s="1"/>
  <c r="DB44" i="4"/>
  <c r="DJ44" i="4" s="1"/>
  <c r="DG44" i="4"/>
  <c r="DO44" i="4" s="1"/>
  <c r="DN44" i="4"/>
  <c r="DA44" i="4"/>
  <c r="DI44" i="4" s="1"/>
  <c r="DG185" i="4"/>
  <c r="DO185" i="4" s="1"/>
  <c r="DB185" i="4"/>
  <c r="DJ185" i="4" s="1"/>
  <c r="DA185" i="4"/>
  <c r="DI185" i="4" s="1"/>
  <c r="DG86" i="4"/>
  <c r="DO86" i="4" s="1"/>
  <c r="DB86" i="4"/>
  <c r="DJ86" i="4" s="1"/>
  <c r="DA86" i="4"/>
  <c r="DI86" i="4" s="1"/>
  <c r="DG187" i="4"/>
  <c r="DO187" i="4" s="1"/>
  <c r="DB187" i="4"/>
  <c r="DJ187" i="4" s="1"/>
  <c r="DA187" i="4"/>
  <c r="DI187" i="4" s="1"/>
  <c r="DG175" i="4"/>
  <c r="DO175" i="4" s="1"/>
  <c r="DB175" i="4"/>
  <c r="DJ175" i="4" s="1"/>
  <c r="DA175" i="4"/>
  <c r="DI175" i="4" s="1"/>
  <c r="DG85" i="4"/>
  <c r="DO85" i="4" s="1"/>
  <c r="DB85" i="4"/>
  <c r="DJ85" i="4" s="1"/>
  <c r="DA85" i="4"/>
  <c r="DI85" i="4" s="1"/>
  <c r="CR113" i="4"/>
  <c r="CS113" i="4" s="1"/>
  <c r="DA171" i="4"/>
  <c r="DI171" i="4" s="1"/>
  <c r="DG171" i="4"/>
  <c r="DO171" i="4" s="1"/>
  <c r="DB171" i="4"/>
  <c r="DJ171" i="4" s="1"/>
  <c r="DA21" i="4"/>
  <c r="DI21" i="4" s="1"/>
  <c r="DB21" i="4"/>
  <c r="DJ21" i="4" s="1"/>
  <c r="DG21" i="4"/>
  <c r="DO21" i="4" s="1"/>
  <c r="DG156" i="4"/>
  <c r="DO156" i="4" s="1"/>
  <c r="DB156" i="4"/>
  <c r="DJ156" i="4" s="1"/>
  <c r="DA156" i="4"/>
  <c r="DI156" i="4" s="1"/>
  <c r="DB130" i="4"/>
  <c r="DJ130" i="4" s="1"/>
  <c r="DA130" i="4"/>
  <c r="DI130" i="4" s="1"/>
  <c r="DG130" i="4"/>
  <c r="DO130" i="4" s="1"/>
  <c r="DB158" i="4"/>
  <c r="DJ158" i="4" s="1"/>
  <c r="DA158" i="4"/>
  <c r="DI158" i="4" s="1"/>
  <c r="DG158" i="4"/>
  <c r="DO158" i="4" s="1"/>
  <c r="DA25" i="4"/>
  <c r="DI25" i="4" s="1"/>
  <c r="DG25" i="4"/>
  <c r="DO25" i="4" s="1"/>
  <c r="DB25" i="4"/>
  <c r="DJ25" i="4" s="1"/>
  <c r="DA57" i="4"/>
  <c r="DI57" i="4" s="1"/>
  <c r="DG57" i="4"/>
  <c r="DO57" i="4" s="1"/>
  <c r="DB57" i="4"/>
  <c r="DJ57" i="4" s="1"/>
  <c r="DG88" i="4"/>
  <c r="DO88" i="4" s="1"/>
  <c r="DB88" i="4"/>
  <c r="DJ88" i="4" s="1"/>
  <c r="DA88" i="4"/>
  <c r="DI88" i="4" s="1"/>
  <c r="CS40" i="4"/>
  <c r="CR105" i="4"/>
  <c r="CS105" i="4" s="1"/>
  <c r="DB59" i="4"/>
  <c r="DJ59" i="4" s="1"/>
  <c r="DG59" i="4"/>
  <c r="DO59" i="4" s="1"/>
  <c r="DA59" i="4"/>
  <c r="DI59" i="4" s="1"/>
  <c r="DA149" i="4"/>
  <c r="DI149" i="4" s="1"/>
  <c r="DG149" i="4"/>
  <c r="DO149" i="4" s="1"/>
  <c r="DB149" i="4"/>
  <c r="DJ149" i="4" s="1"/>
  <c r="CR145" i="4"/>
  <c r="CS145" i="4" s="1"/>
  <c r="CR119" i="4"/>
  <c r="CS119" i="4" s="1"/>
  <c r="DG178" i="4"/>
  <c r="DO178" i="4" s="1"/>
  <c r="DB178" i="4"/>
  <c r="DJ178" i="4" s="1"/>
  <c r="DA178" i="4"/>
  <c r="DI178" i="4" s="1"/>
  <c r="DB22" i="4"/>
  <c r="DJ22" i="4" s="1"/>
  <c r="DA22" i="4"/>
  <c r="DI22" i="4" s="1"/>
  <c r="DG22" i="4"/>
  <c r="DO22" i="4" s="1"/>
  <c r="DA14" i="4"/>
  <c r="DI14" i="4" s="1"/>
  <c r="DB14" i="4"/>
  <c r="DJ14" i="4" s="1"/>
  <c r="DG14" i="4"/>
  <c r="DO14" i="4" s="1"/>
  <c r="DB180" i="4"/>
  <c r="DJ180" i="4" s="1"/>
  <c r="DG180" i="4"/>
  <c r="DO180" i="4" s="1"/>
  <c r="DA180" i="4"/>
  <c r="DI180" i="4" s="1"/>
  <c r="BC120" i="4"/>
  <c r="BE120" i="4" s="1"/>
  <c r="DG129" i="4"/>
  <c r="DO129" i="4" s="1"/>
  <c r="DB129" i="4"/>
  <c r="DJ129" i="4" s="1"/>
  <c r="DA129" i="4"/>
  <c r="DI129" i="4" s="1"/>
  <c r="DG176" i="4"/>
  <c r="DO176" i="4" s="1"/>
  <c r="DB176" i="4"/>
  <c r="DJ176" i="4" s="1"/>
  <c r="DA176" i="4"/>
  <c r="DI176" i="4" s="1"/>
  <c r="DG192" i="4"/>
  <c r="DO192" i="4" s="1"/>
  <c r="DB192" i="4"/>
  <c r="DJ192" i="4" s="1"/>
  <c r="DA192" i="4"/>
  <c r="DI192" i="4" s="1"/>
  <c r="DB33" i="4"/>
  <c r="DJ33" i="4" s="1"/>
  <c r="DG33" i="4"/>
  <c r="DO33" i="4" s="1"/>
  <c r="DA33" i="4"/>
  <c r="DI33" i="4" s="1"/>
  <c r="DA72" i="4"/>
  <c r="DI72" i="4" s="1"/>
  <c r="DG72" i="4"/>
  <c r="DO72" i="4" s="1"/>
  <c r="DB72" i="4"/>
  <c r="DJ72" i="4" s="1"/>
  <c r="DG80" i="4"/>
  <c r="DO80" i="4" s="1"/>
  <c r="DA80" i="4"/>
  <c r="DI80" i="4" s="1"/>
  <c r="DB80" i="4"/>
  <c r="DJ80" i="4" s="1"/>
  <c r="DB182" i="4"/>
  <c r="DJ182" i="4" s="1"/>
  <c r="DG182" i="4"/>
  <c r="DO182" i="4" s="1"/>
  <c r="DA182" i="4"/>
  <c r="DI182" i="4" s="1"/>
  <c r="DG140" i="4"/>
  <c r="DO140" i="4" s="1"/>
  <c r="DB140" i="4"/>
  <c r="DJ140" i="4" s="1"/>
  <c r="DA140" i="4"/>
  <c r="DI140" i="4" s="1"/>
  <c r="DG167" i="4"/>
  <c r="DO167" i="4" s="1"/>
  <c r="DA167" i="4"/>
  <c r="DI167" i="4" s="1"/>
  <c r="DB167" i="4"/>
  <c r="DJ167" i="4" s="1"/>
  <c r="DB151" i="4"/>
  <c r="DJ151" i="4" s="1"/>
  <c r="DA151" i="4"/>
  <c r="DI151" i="4" s="1"/>
  <c r="DG151" i="4"/>
  <c r="DO151" i="4" s="1"/>
  <c r="DG154" i="4"/>
  <c r="DO154" i="4" s="1"/>
  <c r="DB154" i="4"/>
  <c r="DJ154" i="4" s="1"/>
  <c r="DA154" i="4"/>
  <c r="DI154" i="4" s="1"/>
  <c r="DG96" i="4"/>
  <c r="DO96" i="4" s="1"/>
  <c r="DA96" i="4"/>
  <c r="DI96" i="4" s="1"/>
  <c r="DB96" i="4"/>
  <c r="DJ96" i="4" s="1"/>
  <c r="DG111" i="4"/>
  <c r="DO111" i="4" s="1"/>
  <c r="DB111" i="4"/>
  <c r="DJ111" i="4" s="1"/>
  <c r="DA111" i="4"/>
  <c r="DI111" i="4" s="1"/>
  <c r="DA183" i="4"/>
  <c r="DI183" i="4" s="1"/>
  <c r="DG183" i="4"/>
  <c r="DO183" i="4" s="1"/>
  <c r="DB183" i="4"/>
  <c r="DJ183" i="4" s="1"/>
  <c r="DA6" i="4"/>
  <c r="DI6" i="4" s="1"/>
  <c r="DG6" i="4"/>
  <c r="DO6" i="4" s="1"/>
  <c r="DB6" i="4"/>
  <c r="DJ6" i="4" s="1"/>
  <c r="DG62" i="4"/>
  <c r="DO62" i="4" s="1"/>
  <c r="DB62" i="4"/>
  <c r="DJ62" i="4" s="1"/>
  <c r="DA62" i="4"/>
  <c r="DI62" i="4" s="1"/>
  <c r="DB43" i="4"/>
  <c r="DJ43" i="4" s="1"/>
  <c r="DA43" i="4"/>
  <c r="DI43" i="4" s="1"/>
  <c r="DG43" i="4"/>
  <c r="DO43" i="4" s="1"/>
  <c r="DB99" i="4"/>
  <c r="DJ99" i="4" s="1"/>
  <c r="DA99" i="4"/>
  <c r="DI99" i="4" s="1"/>
  <c r="DG99" i="4"/>
  <c r="DO99" i="4" s="1"/>
  <c r="CR146" i="4"/>
  <c r="CS146" i="4" s="1"/>
  <c r="DB202" i="4"/>
  <c r="DJ202" i="4" s="1"/>
  <c r="DA202" i="4"/>
  <c r="DI202" i="4" s="1"/>
  <c r="DG202" i="4"/>
  <c r="DO202" i="4" s="1"/>
  <c r="DA172" i="4"/>
  <c r="DI172" i="4" s="1"/>
  <c r="DB172" i="4"/>
  <c r="DJ172" i="4" s="1"/>
  <c r="DG172" i="4"/>
  <c r="DO172" i="4" s="1"/>
  <c r="CR102" i="4"/>
  <c r="CS102" i="4" s="1"/>
  <c r="DA138" i="4"/>
  <c r="DI138" i="4" s="1"/>
  <c r="DB138" i="4"/>
  <c r="DJ138" i="4" s="1"/>
  <c r="DG138" i="4"/>
  <c r="DO138" i="4" s="1"/>
  <c r="CR15" i="4"/>
  <c r="CS15" i="4" s="1"/>
  <c r="CR121" i="4"/>
  <c r="CS121" i="4" s="1"/>
  <c r="DA207" i="4"/>
  <c r="DI207" i="4" s="1"/>
  <c r="DG207" i="4"/>
  <c r="DO207" i="4" s="1"/>
  <c r="DB207" i="4"/>
  <c r="DJ207" i="4" s="1"/>
  <c r="DA20" i="4"/>
  <c r="DI20" i="4" s="1"/>
  <c r="DG20" i="4"/>
  <c r="DO20" i="4" s="1"/>
  <c r="DB20" i="4"/>
  <c r="DJ20" i="4" s="1"/>
  <c r="DG190" i="4"/>
  <c r="DO190" i="4" s="1"/>
  <c r="DB190" i="4"/>
  <c r="DJ190" i="4" s="1"/>
  <c r="DA190" i="4"/>
  <c r="DI190" i="4" s="1"/>
  <c r="DA116" i="4"/>
  <c r="DI116" i="4" s="1"/>
  <c r="DB116" i="4"/>
  <c r="DJ116" i="4" s="1"/>
  <c r="DG116" i="4"/>
  <c r="DO116" i="4" s="1"/>
  <c r="DG31" i="4"/>
  <c r="DO31" i="4" s="1"/>
  <c r="DA31" i="4"/>
  <c r="DI31" i="4" s="1"/>
  <c r="DB31" i="4"/>
  <c r="DJ31" i="4" s="1"/>
  <c r="DB66" i="4"/>
  <c r="DJ66" i="4" s="1"/>
  <c r="DA66" i="4"/>
  <c r="DI66" i="4" s="1"/>
  <c r="DG66" i="4"/>
  <c r="DO66" i="4" s="1"/>
  <c r="DG106" i="4"/>
  <c r="DO106" i="4" s="1"/>
  <c r="DB106" i="4"/>
  <c r="DJ106" i="4" s="1"/>
  <c r="DA106" i="4"/>
  <c r="DI106" i="4" s="1"/>
  <c r="DG19" i="4"/>
  <c r="DO19" i="4" s="1"/>
  <c r="DA19" i="4"/>
  <c r="DI19" i="4" s="1"/>
  <c r="DB19" i="4"/>
  <c r="DJ19" i="4" s="1"/>
  <c r="DG136" i="4"/>
  <c r="DO136" i="4" s="1"/>
  <c r="DB136" i="4"/>
  <c r="DJ136" i="4" s="1"/>
  <c r="DA136" i="4"/>
  <c r="DI136" i="4" s="1"/>
  <c r="DA75" i="4"/>
  <c r="DI75" i="4" s="1"/>
  <c r="DG75" i="4"/>
  <c r="DO75" i="4" s="1"/>
  <c r="DB75" i="4"/>
  <c r="DJ75" i="4" s="1"/>
  <c r="CS27" i="4"/>
  <c r="DB47" i="4"/>
  <c r="DJ47" i="4" s="1"/>
  <c r="DG47" i="4"/>
  <c r="DO47" i="4" s="1"/>
  <c r="DA47" i="4"/>
  <c r="DI47" i="4" s="1"/>
  <c r="DG74" i="4"/>
  <c r="DO74" i="4" s="1"/>
  <c r="DA74" i="4"/>
  <c r="DI74" i="4" s="1"/>
  <c r="DB74" i="4"/>
  <c r="DJ74" i="4" s="1"/>
  <c r="DA169" i="4"/>
  <c r="DI169" i="4" s="1"/>
  <c r="DB169" i="4"/>
  <c r="DJ169" i="4" s="1"/>
  <c r="DG169" i="4"/>
  <c r="DO169" i="4" s="1"/>
  <c r="DB206" i="4"/>
  <c r="DJ206" i="4" s="1"/>
  <c r="DA206" i="4"/>
  <c r="DI206" i="4" s="1"/>
  <c r="DG206" i="4"/>
  <c r="DO206" i="4" s="1"/>
  <c r="DG34" i="4"/>
  <c r="DO34" i="4" s="1"/>
  <c r="DA34" i="4"/>
  <c r="DI34" i="4" s="1"/>
  <c r="DB34" i="4"/>
  <c r="DJ34" i="4" s="1"/>
  <c r="DB52" i="4"/>
  <c r="DJ52" i="4" s="1"/>
  <c r="DG52" i="4"/>
  <c r="DO52" i="4" s="1"/>
  <c r="DA52" i="4"/>
  <c r="DI52" i="4" s="1"/>
  <c r="DG98" i="4"/>
  <c r="DO98" i="4" s="1"/>
  <c r="DB98" i="4"/>
  <c r="DJ98" i="4" s="1"/>
  <c r="DA98" i="4"/>
  <c r="DI98" i="4" s="1"/>
  <c r="DG89" i="4"/>
  <c r="DO89" i="4" s="1"/>
  <c r="DB89" i="4"/>
  <c r="DJ89" i="4" s="1"/>
  <c r="DA89" i="4"/>
  <c r="DI89" i="4" s="1"/>
  <c r="CR92" i="4"/>
  <c r="CS92" i="4" s="1"/>
  <c r="DB50" i="4"/>
  <c r="DJ50" i="4" s="1"/>
  <c r="DG50" i="4"/>
  <c r="DO50" i="4" s="1"/>
  <c r="DA50" i="4"/>
  <c r="DI50" i="4" s="1"/>
  <c r="CR197" i="4"/>
  <c r="CS197" i="4" s="1"/>
  <c r="DA160" i="4"/>
  <c r="DI160" i="4" s="1"/>
  <c r="DG160" i="4"/>
  <c r="DO160" i="4" s="1"/>
  <c r="DB160" i="4"/>
  <c r="DJ160" i="4" s="1"/>
  <c r="DA91" i="4"/>
  <c r="DI91" i="4" s="1"/>
  <c r="DB91" i="4"/>
  <c r="DJ91" i="4" s="1"/>
  <c r="DG91" i="4"/>
  <c r="DO91" i="4" s="1"/>
  <c r="DG181" i="4"/>
  <c r="DO181" i="4" s="1"/>
  <c r="DB181" i="4"/>
  <c r="DJ181" i="4" s="1"/>
  <c r="DA181" i="4"/>
  <c r="DI181" i="4" s="1"/>
  <c r="DG39" i="4"/>
  <c r="DO39" i="4" s="1"/>
  <c r="DB39" i="4"/>
  <c r="DJ39" i="4" s="1"/>
  <c r="DA39" i="4"/>
  <c r="DI39" i="4" s="1"/>
  <c r="DN103" i="4"/>
  <c r="DA103" i="4"/>
  <c r="DI103" i="4" s="1"/>
  <c r="DB103" i="4"/>
  <c r="DJ103" i="4" s="1"/>
  <c r="DG103" i="4"/>
  <c r="DO103" i="4" s="1"/>
  <c r="DN125" i="4"/>
  <c r="DA125" i="4"/>
  <c r="DI125" i="4" s="1"/>
  <c r="DB125" i="4"/>
  <c r="DJ125" i="4" s="1"/>
  <c r="DG125" i="4"/>
  <c r="DO125" i="4" s="1"/>
  <c r="DG144" i="4"/>
  <c r="DO144" i="4" s="1"/>
  <c r="DB144" i="4"/>
  <c r="DJ144" i="4" s="1"/>
  <c r="DK144" i="4"/>
  <c r="DA144" i="4"/>
  <c r="DI144" i="4" s="1"/>
  <c r="DB159" i="4"/>
  <c r="DJ159" i="4" s="1"/>
  <c r="DG159" i="4"/>
  <c r="DO159" i="4" s="1"/>
  <c r="DA159" i="4"/>
  <c r="DI159" i="4" s="1"/>
  <c r="DG101" i="4"/>
  <c r="DO101" i="4" s="1"/>
  <c r="DA101" i="4"/>
  <c r="DI101" i="4" s="1"/>
  <c r="DB101" i="4"/>
  <c r="DJ101" i="4" s="1"/>
  <c r="DG147" i="4"/>
  <c r="DO147" i="4" s="1"/>
  <c r="DB147" i="4"/>
  <c r="DJ147" i="4" s="1"/>
  <c r="DA147" i="4"/>
  <c r="DI147" i="4" s="1"/>
  <c r="DA107" i="4"/>
  <c r="DI107" i="4" s="1"/>
  <c r="DG107" i="4"/>
  <c r="DO107" i="4" s="1"/>
  <c r="DB107" i="4"/>
  <c r="DJ107" i="4" s="1"/>
  <c r="DA139" i="4"/>
  <c r="DI139" i="4" s="1"/>
  <c r="DB139" i="4"/>
  <c r="DJ139" i="4" s="1"/>
  <c r="DG139" i="4"/>
  <c r="DO139" i="4" s="1"/>
  <c r="DB117" i="4"/>
  <c r="DJ117" i="4" s="1"/>
  <c r="DA117" i="4"/>
  <c r="DI117" i="4" s="1"/>
  <c r="DG117" i="4"/>
  <c r="DO117" i="4" s="1"/>
  <c r="DG157" i="4"/>
  <c r="DO157" i="4" s="1"/>
  <c r="DB157" i="4"/>
  <c r="DJ157" i="4" s="1"/>
  <c r="DA157" i="4"/>
  <c r="DI157" i="4" s="1"/>
  <c r="DG195" i="4"/>
  <c r="DO195" i="4" s="1"/>
  <c r="DA195" i="4"/>
  <c r="DI195" i="4" s="1"/>
  <c r="DB195" i="4"/>
  <c r="DJ195" i="4" s="1"/>
  <c r="DA133" i="4"/>
  <c r="DI133" i="4" s="1"/>
  <c r="DB133" i="4"/>
  <c r="DJ133" i="4" s="1"/>
  <c r="DG133" i="4"/>
  <c r="DO133" i="4" s="1"/>
  <c r="DG152" i="4"/>
  <c r="DO152" i="4" s="1"/>
  <c r="DB152" i="4"/>
  <c r="DJ152" i="4" s="1"/>
  <c r="DA152" i="4"/>
  <c r="DI152" i="4" s="1"/>
  <c r="DG90" i="4"/>
  <c r="DO90" i="4" s="1"/>
  <c r="DB90" i="4"/>
  <c r="DJ90" i="4" s="1"/>
  <c r="DA90" i="4"/>
  <c r="DI90" i="4" s="1"/>
  <c r="DG24" i="4"/>
  <c r="DO24" i="4" s="1"/>
  <c r="DB24" i="4"/>
  <c r="DJ24" i="4" s="1"/>
  <c r="DA24" i="4"/>
  <c r="DI24" i="4" s="1"/>
  <c r="DB118" i="4"/>
  <c r="DJ118" i="4" s="1"/>
  <c r="DA118" i="4"/>
  <c r="DI118" i="4" s="1"/>
  <c r="DG118" i="4"/>
  <c r="DO118" i="4" s="1"/>
  <c r="DB205" i="4"/>
  <c r="DJ205" i="4" s="1"/>
  <c r="DA205" i="4"/>
  <c r="DI205" i="4" s="1"/>
  <c r="DG205" i="4"/>
  <c r="DO205" i="4" s="1"/>
  <c r="DG148" i="4"/>
  <c r="DO148" i="4" s="1"/>
  <c r="DB148" i="4"/>
  <c r="DJ148" i="4" s="1"/>
  <c r="DA148" i="4"/>
  <c r="DI148" i="4" s="1"/>
  <c r="DG162" i="4"/>
  <c r="DO162" i="4" s="1"/>
  <c r="DB162" i="4"/>
  <c r="DJ162" i="4" s="1"/>
  <c r="DA162" i="4"/>
  <c r="DI162" i="4" s="1"/>
  <c r="DG60" i="4"/>
  <c r="DO60" i="4" s="1"/>
  <c r="DB60" i="4"/>
  <c r="DJ60" i="4" s="1"/>
  <c r="DA60" i="4"/>
  <c r="DI60" i="4" s="1"/>
  <c r="DG56" i="4"/>
  <c r="DO56" i="4" s="1"/>
  <c r="DA56" i="4"/>
  <c r="DI56" i="4" s="1"/>
  <c r="DB56" i="4"/>
  <c r="DJ56" i="4" s="1"/>
  <c r="DB94" i="4"/>
  <c r="DJ94" i="4" s="1"/>
  <c r="DG94" i="4"/>
  <c r="DO94" i="4" s="1"/>
  <c r="DA94" i="4"/>
  <c r="DI94" i="4" s="1"/>
  <c r="DB30" i="4"/>
  <c r="DJ30" i="4" s="1"/>
  <c r="DA30" i="4"/>
  <c r="DI30" i="4" s="1"/>
  <c r="DG30" i="4"/>
  <c r="DO30" i="4" s="1"/>
  <c r="DB137" i="4"/>
  <c r="DJ137" i="4" s="1"/>
  <c r="DG137" i="4"/>
  <c r="DO137" i="4" s="1"/>
  <c r="DA137" i="4"/>
  <c r="DI137" i="4" s="1"/>
  <c r="CR7" i="4"/>
  <c r="CS7" i="4" s="1"/>
  <c r="DG36" i="4"/>
  <c r="DO36" i="4" s="1"/>
  <c r="DB36" i="4"/>
  <c r="DJ36" i="4" s="1"/>
  <c r="DA36" i="4"/>
  <c r="DI36" i="4" s="1"/>
  <c r="DG9" i="4"/>
  <c r="DO9" i="4" s="1"/>
  <c r="DB9" i="4"/>
  <c r="DJ9" i="4" s="1"/>
  <c r="DA9" i="4"/>
  <c r="DI9" i="4" s="1"/>
  <c r="DG48" i="4"/>
  <c r="DO48" i="4" s="1"/>
  <c r="DA48" i="4"/>
  <c r="DI48" i="4" s="1"/>
  <c r="DB48" i="4"/>
  <c r="DJ48" i="4" s="1"/>
  <c r="DA186" i="4" l="1"/>
  <c r="DI186" i="4" s="1"/>
  <c r="DG186" i="4"/>
  <c r="DO186" i="4" s="1"/>
  <c r="DF194" i="4"/>
  <c r="DN194" i="4" s="1"/>
  <c r="DE194" i="4"/>
  <c r="DM194" i="4" s="1"/>
  <c r="DD194" i="4"/>
  <c r="DL194" i="4" s="1"/>
  <c r="DC194" i="4"/>
  <c r="DK194" i="4" s="1"/>
  <c r="DF27" i="4"/>
  <c r="DN27" i="4" s="1"/>
  <c r="DE27" i="4"/>
  <c r="DM27" i="4" s="1"/>
  <c r="DD27" i="4"/>
  <c r="DL27" i="4" s="1"/>
  <c r="DC27" i="4"/>
  <c r="DK27" i="4" s="1"/>
  <c r="DF102" i="4"/>
  <c r="DE102" i="4"/>
  <c r="DM102" i="4" s="1"/>
  <c r="DD102" i="4"/>
  <c r="DL102" i="4" s="1"/>
  <c r="DC102" i="4"/>
  <c r="DK102" i="4" s="1"/>
  <c r="DF200" i="4"/>
  <c r="DN200" i="4" s="1"/>
  <c r="DE200" i="4"/>
  <c r="DM200" i="4" s="1"/>
  <c r="DD200" i="4"/>
  <c r="DL200" i="4" s="1"/>
  <c r="DC200" i="4"/>
  <c r="DK200" i="4" s="1"/>
  <c r="DE32" i="4"/>
  <c r="DM32" i="4" s="1"/>
  <c r="DD32" i="4"/>
  <c r="DL32" i="4" s="1"/>
  <c r="DC32" i="4"/>
  <c r="DK32" i="4" s="1"/>
  <c r="DF32" i="4"/>
  <c r="DN32" i="4" s="1"/>
  <c r="DF15" i="4"/>
  <c r="DN15" i="4" s="1"/>
  <c r="DE15" i="4"/>
  <c r="DM15" i="4" s="1"/>
  <c r="DD15" i="4"/>
  <c r="DL15" i="4" s="1"/>
  <c r="DC15" i="4"/>
  <c r="DK15" i="4" s="1"/>
  <c r="DF70" i="4"/>
  <c r="DN70" i="4" s="1"/>
  <c r="DE70" i="4"/>
  <c r="DM70" i="4" s="1"/>
  <c r="DD70" i="4"/>
  <c r="DL70" i="4" s="1"/>
  <c r="DC70" i="4"/>
  <c r="DK70" i="4" s="1"/>
  <c r="DG8" i="4"/>
  <c r="DO8" i="4" s="1"/>
  <c r="DE8" i="4"/>
  <c r="DM8" i="4" s="1"/>
  <c r="DD8" i="4"/>
  <c r="DL8" i="4" s="1"/>
  <c r="DC8" i="4"/>
  <c r="DK8" i="4" s="1"/>
  <c r="DF8" i="4"/>
  <c r="DN8" i="4" s="1"/>
  <c r="DE119" i="4"/>
  <c r="DM119" i="4" s="1"/>
  <c r="DD119" i="4"/>
  <c r="DL119" i="4" s="1"/>
  <c r="DC119" i="4"/>
  <c r="DK119" i="4" s="1"/>
  <c r="DF119" i="4"/>
  <c r="DN119" i="4" s="1"/>
  <c r="DE105" i="4"/>
  <c r="DM105" i="4" s="1"/>
  <c r="DD105" i="4"/>
  <c r="DL105" i="4" s="1"/>
  <c r="DC105" i="4"/>
  <c r="DK105" i="4" s="1"/>
  <c r="DF105" i="4"/>
  <c r="DN105" i="4" s="1"/>
  <c r="DF78" i="4"/>
  <c r="DN78" i="4" s="1"/>
  <c r="DE78" i="4"/>
  <c r="DM78" i="4" s="1"/>
  <c r="DD78" i="4"/>
  <c r="DL78" i="4" s="1"/>
  <c r="DC78" i="4"/>
  <c r="DK78" i="4" s="1"/>
  <c r="DF197" i="4"/>
  <c r="DN197" i="4" s="1"/>
  <c r="DE197" i="4"/>
  <c r="DM197" i="4" s="1"/>
  <c r="DD197" i="4"/>
  <c r="DL197" i="4" s="1"/>
  <c r="DC197" i="4"/>
  <c r="DK197" i="4" s="1"/>
  <c r="DG95" i="4"/>
  <c r="DO95" i="4" s="1"/>
  <c r="DE95" i="4"/>
  <c r="DM95" i="4" s="1"/>
  <c r="DD95" i="4"/>
  <c r="DL95" i="4" s="1"/>
  <c r="DC95" i="4"/>
  <c r="DK95" i="4" s="1"/>
  <c r="DF95" i="4"/>
  <c r="DN95" i="4" s="1"/>
  <c r="DF11" i="4"/>
  <c r="DN11" i="4" s="1"/>
  <c r="DE11" i="4"/>
  <c r="DM11" i="4" s="1"/>
  <c r="DD11" i="4"/>
  <c r="DL11" i="4" s="1"/>
  <c r="DC11" i="4"/>
  <c r="DK11" i="4" s="1"/>
  <c r="DF7" i="4"/>
  <c r="DN7" i="4" s="1"/>
  <c r="DE7" i="4"/>
  <c r="DM7" i="4" s="1"/>
  <c r="DD7" i="4"/>
  <c r="DL7" i="4" s="1"/>
  <c r="DC7" i="4"/>
  <c r="DK7" i="4" s="1"/>
  <c r="DF145" i="4"/>
  <c r="DN145" i="4" s="1"/>
  <c r="DE145" i="4"/>
  <c r="DM145" i="4" s="1"/>
  <c r="DD145" i="4"/>
  <c r="DL145" i="4" s="1"/>
  <c r="DC145" i="4"/>
  <c r="DK145" i="4" s="1"/>
  <c r="DE40" i="4"/>
  <c r="DM40" i="4" s="1"/>
  <c r="DD40" i="4"/>
  <c r="DL40" i="4" s="1"/>
  <c r="DC40" i="4"/>
  <c r="DK40" i="4" s="1"/>
  <c r="DF40" i="4"/>
  <c r="DN40" i="4" s="1"/>
  <c r="DE113" i="4"/>
  <c r="DM113" i="4" s="1"/>
  <c r="DD113" i="4"/>
  <c r="DL113" i="4" s="1"/>
  <c r="DC113" i="4"/>
  <c r="DF113" i="4"/>
  <c r="DN113" i="4" s="1"/>
  <c r="DE93" i="4"/>
  <c r="DM93" i="4" s="1"/>
  <c r="DD93" i="4"/>
  <c r="DL93" i="4" s="1"/>
  <c r="DC93" i="4"/>
  <c r="DK93" i="4" s="1"/>
  <c r="DF93" i="4"/>
  <c r="DN93" i="4" s="1"/>
  <c r="DF146" i="4"/>
  <c r="DN146" i="4" s="1"/>
  <c r="DE146" i="4"/>
  <c r="DM146" i="4" s="1"/>
  <c r="DD146" i="4"/>
  <c r="DL146" i="4" s="1"/>
  <c r="DC146" i="4"/>
  <c r="DK146" i="4" s="1"/>
  <c r="DE12" i="4"/>
  <c r="DM12" i="4" s="1"/>
  <c r="DD12" i="4"/>
  <c r="DL12" i="4" s="1"/>
  <c r="DC12" i="4"/>
  <c r="DK12" i="4" s="1"/>
  <c r="DF12" i="4"/>
  <c r="DN12" i="4" s="1"/>
  <c r="DF163" i="4"/>
  <c r="DN163" i="4" s="1"/>
  <c r="DE163" i="4"/>
  <c r="DM163" i="4" s="1"/>
  <c r="DD163" i="4"/>
  <c r="DL163" i="4" s="1"/>
  <c r="DC163" i="4"/>
  <c r="DK163" i="4" s="1"/>
  <c r="DF193" i="4"/>
  <c r="DN193" i="4" s="1"/>
  <c r="DE193" i="4"/>
  <c r="DM193" i="4" s="1"/>
  <c r="DD193" i="4"/>
  <c r="DL193" i="4" s="1"/>
  <c r="DC193" i="4"/>
  <c r="DK193" i="4" s="1"/>
  <c r="DE128" i="4"/>
  <c r="DM128" i="4" s="1"/>
  <c r="DD128" i="4"/>
  <c r="DL128" i="4" s="1"/>
  <c r="DC128" i="4"/>
  <c r="DK128" i="4" s="1"/>
  <c r="DF128" i="4"/>
  <c r="DN128" i="4" s="1"/>
  <c r="DF92" i="4"/>
  <c r="DN92" i="4" s="1"/>
  <c r="DE92" i="4"/>
  <c r="DM92" i="4" s="1"/>
  <c r="DD92" i="4"/>
  <c r="DL92" i="4" s="1"/>
  <c r="DC92" i="4"/>
  <c r="DK92" i="4" s="1"/>
  <c r="DF177" i="4"/>
  <c r="DN177" i="4" s="1"/>
  <c r="DE177" i="4"/>
  <c r="DM177" i="4" s="1"/>
  <c r="DD177" i="4"/>
  <c r="DL177" i="4" s="1"/>
  <c r="DC177" i="4"/>
  <c r="DK177" i="4" s="1"/>
  <c r="DF166" i="4"/>
  <c r="DN166" i="4" s="1"/>
  <c r="DE166" i="4"/>
  <c r="DM166" i="4" s="1"/>
  <c r="DD166" i="4"/>
  <c r="DL166" i="4" s="1"/>
  <c r="DC166" i="4"/>
  <c r="DK166" i="4" s="1"/>
  <c r="DF51" i="4"/>
  <c r="DN51" i="4" s="1"/>
  <c r="DE51" i="4"/>
  <c r="DM51" i="4" s="1"/>
  <c r="DD51" i="4"/>
  <c r="DL51" i="4" s="1"/>
  <c r="DC51" i="4"/>
  <c r="DK51" i="4" s="1"/>
  <c r="DE10" i="4"/>
  <c r="DM10" i="4" s="1"/>
  <c r="DD10" i="4"/>
  <c r="DL10" i="4" s="1"/>
  <c r="DF10" i="4"/>
  <c r="DN10" i="4" s="1"/>
  <c r="DC10" i="4"/>
  <c r="DK10" i="4" s="1"/>
  <c r="DF64" i="4"/>
  <c r="DN64" i="4" s="1"/>
  <c r="DE64" i="4"/>
  <c r="DM64" i="4" s="1"/>
  <c r="DD64" i="4"/>
  <c r="DL64" i="4" s="1"/>
  <c r="DC64" i="4"/>
  <c r="DK64" i="4" s="1"/>
  <c r="DE87" i="4"/>
  <c r="DM87" i="4" s="1"/>
  <c r="DD87" i="4"/>
  <c r="DL87" i="4" s="1"/>
  <c r="DC87" i="4"/>
  <c r="DK87" i="4" s="1"/>
  <c r="DF87" i="4"/>
  <c r="DN87" i="4" s="1"/>
  <c r="DF45" i="4"/>
  <c r="DN45" i="4" s="1"/>
  <c r="DE45" i="4"/>
  <c r="DM45" i="4" s="1"/>
  <c r="DD45" i="4"/>
  <c r="DL45" i="4" s="1"/>
  <c r="DC45" i="4"/>
  <c r="DK45" i="4" s="1"/>
  <c r="DF186" i="4"/>
  <c r="DN186" i="4" s="1"/>
  <c r="DE186" i="4"/>
  <c r="DM186" i="4" s="1"/>
  <c r="DD186" i="4"/>
  <c r="DL186" i="4" s="1"/>
  <c r="DC186" i="4"/>
  <c r="DK186" i="4" s="1"/>
  <c r="DE121" i="4"/>
  <c r="DM121" i="4" s="1"/>
  <c r="DD121" i="4"/>
  <c r="DL121" i="4" s="1"/>
  <c r="DC121" i="4"/>
  <c r="DK121" i="4" s="1"/>
  <c r="DF121" i="4"/>
  <c r="DN121" i="4" s="1"/>
  <c r="BC28" i="4"/>
  <c r="BE28" i="4" s="1"/>
  <c r="BC126" i="4"/>
  <c r="BE126" i="4" s="1"/>
  <c r="BC141" i="4"/>
  <c r="BE141" i="4" s="1"/>
  <c r="BC165" i="4"/>
  <c r="BE165" i="4" s="1"/>
  <c r="DG32" i="4"/>
  <c r="DO32" i="4" s="1"/>
  <c r="DA200" i="4"/>
  <c r="DI200" i="4" s="1"/>
  <c r="BC200" i="4" s="1"/>
  <c r="BE200" i="4" s="1"/>
  <c r="DB87" i="4"/>
  <c r="DJ87" i="4" s="1"/>
  <c r="DG87" i="4"/>
  <c r="DO87" i="4" s="1"/>
  <c r="DA87" i="4"/>
  <c r="DI87" i="4" s="1"/>
  <c r="DG200" i="4"/>
  <c r="DO200" i="4" s="1"/>
  <c r="DA32" i="4"/>
  <c r="DI32" i="4" s="1"/>
  <c r="DB200" i="4"/>
  <c r="DJ200" i="4" s="1"/>
  <c r="DB32" i="4"/>
  <c r="DJ32" i="4" s="1"/>
  <c r="DA95" i="4"/>
  <c r="DI95" i="4" s="1"/>
  <c r="DG51" i="4"/>
  <c r="DO51" i="4" s="1"/>
  <c r="DB166" i="4"/>
  <c r="DJ166" i="4" s="1"/>
  <c r="DB51" i="4"/>
  <c r="DJ51" i="4" s="1"/>
  <c r="DA51" i="4"/>
  <c r="DI51" i="4" s="1"/>
  <c r="DA166" i="4"/>
  <c r="DI166" i="4" s="1"/>
  <c r="DG166" i="4"/>
  <c r="DO166" i="4" s="1"/>
  <c r="DA11" i="4"/>
  <c r="DI11" i="4" s="1"/>
  <c r="DB11" i="4"/>
  <c r="DJ11" i="4" s="1"/>
  <c r="DB95" i="4"/>
  <c r="DJ95" i="4" s="1"/>
  <c r="DG11" i="4"/>
  <c r="DO11" i="4" s="1"/>
  <c r="DA8" i="4"/>
  <c r="DI8" i="4" s="1"/>
  <c r="DB8" i="4"/>
  <c r="DJ8" i="4" s="1"/>
  <c r="DA78" i="4"/>
  <c r="DI78" i="4" s="1"/>
  <c r="DB78" i="4"/>
  <c r="DJ78" i="4" s="1"/>
  <c r="DG78" i="4"/>
  <c r="DO78" i="4" s="1"/>
  <c r="DA93" i="4"/>
  <c r="DI93" i="4" s="1"/>
  <c r="DB93" i="4"/>
  <c r="DJ93" i="4" s="1"/>
  <c r="DG93" i="4"/>
  <c r="DO93" i="4" s="1"/>
  <c r="DA45" i="4"/>
  <c r="DI45" i="4" s="1"/>
  <c r="DG45" i="4"/>
  <c r="DO45" i="4" s="1"/>
  <c r="DB45" i="4"/>
  <c r="DJ45" i="4" s="1"/>
  <c r="DB193" i="4"/>
  <c r="DJ193" i="4" s="1"/>
  <c r="DA193" i="4"/>
  <c r="DI193" i="4" s="1"/>
  <c r="DG193" i="4"/>
  <c r="DO193" i="4" s="1"/>
  <c r="DB128" i="4"/>
  <c r="DJ128" i="4" s="1"/>
  <c r="DA128" i="4"/>
  <c r="DI128" i="4" s="1"/>
  <c r="DG128" i="4"/>
  <c r="DO128" i="4" s="1"/>
  <c r="BC108" i="4"/>
  <c r="BE108" i="4" s="1"/>
  <c r="DA70" i="4"/>
  <c r="DI70" i="4" s="1"/>
  <c r="DG70" i="4"/>
  <c r="DO70" i="4" s="1"/>
  <c r="DB70" i="4"/>
  <c r="DJ70" i="4" s="1"/>
  <c r="BD37" i="4"/>
  <c r="BF37" i="4" s="1"/>
  <c r="BC133" i="4"/>
  <c r="BE133" i="4" s="1"/>
  <c r="BC43" i="4"/>
  <c r="BE43" i="4" s="1"/>
  <c r="DA194" i="4"/>
  <c r="DI194" i="4" s="1"/>
  <c r="DG194" i="4"/>
  <c r="DO194" i="4" s="1"/>
  <c r="DB194" i="4"/>
  <c r="DJ194" i="4" s="1"/>
  <c r="BC162" i="4"/>
  <c r="BE162" i="4" s="1"/>
  <c r="BC157" i="4"/>
  <c r="BE157" i="4" s="1"/>
  <c r="BC159" i="4"/>
  <c r="BE159" i="4" s="1"/>
  <c r="DG197" i="4"/>
  <c r="DO197" i="4" s="1"/>
  <c r="DA197" i="4"/>
  <c r="DI197" i="4" s="1"/>
  <c r="DB197" i="4"/>
  <c r="DJ197" i="4" s="1"/>
  <c r="BC20" i="4"/>
  <c r="BE20" i="4" s="1"/>
  <c r="BC207" i="4"/>
  <c r="BE207" i="4" s="1"/>
  <c r="BC172" i="4"/>
  <c r="BE172" i="4" s="1"/>
  <c r="BC96" i="4"/>
  <c r="BE96" i="4" s="1"/>
  <c r="BC182" i="4"/>
  <c r="BE182" i="4" s="1"/>
  <c r="DA145" i="4"/>
  <c r="DI145" i="4" s="1"/>
  <c r="DG145" i="4"/>
  <c r="DO145" i="4" s="1"/>
  <c r="DB145" i="4"/>
  <c r="DJ145" i="4" s="1"/>
  <c r="BC170" i="4"/>
  <c r="BE170" i="4" s="1"/>
  <c r="BC114" i="4"/>
  <c r="BE114" i="4" s="1"/>
  <c r="BC18" i="4"/>
  <c r="BE18" i="4" s="1"/>
  <c r="BC65" i="4"/>
  <c r="BE65" i="4" s="1"/>
  <c r="BC148" i="4"/>
  <c r="BE148" i="4" s="1"/>
  <c r="BC144" i="4"/>
  <c r="BE144" i="4" s="1"/>
  <c r="BC57" i="4"/>
  <c r="BE57" i="4" s="1"/>
  <c r="BC71" i="4"/>
  <c r="BE71" i="4" s="1"/>
  <c r="BC60" i="4"/>
  <c r="BE60" i="4" s="1"/>
  <c r="BC195" i="4"/>
  <c r="BE195" i="4" s="1"/>
  <c r="BC107" i="4"/>
  <c r="BE107" i="4" s="1"/>
  <c r="DB92" i="4"/>
  <c r="DJ92" i="4" s="1"/>
  <c r="DA92" i="4"/>
  <c r="DI92" i="4" s="1"/>
  <c r="DG92" i="4"/>
  <c r="DO92" i="4" s="1"/>
  <c r="DG121" i="4"/>
  <c r="DO121" i="4" s="1"/>
  <c r="DA121" i="4"/>
  <c r="DI121" i="4" s="1"/>
  <c r="DB121" i="4"/>
  <c r="DJ121" i="4" s="1"/>
  <c r="DB105" i="4"/>
  <c r="DJ105" i="4" s="1"/>
  <c r="DG105" i="4"/>
  <c r="DO105" i="4" s="1"/>
  <c r="DA105" i="4"/>
  <c r="DI105" i="4" s="1"/>
  <c r="BC156" i="4"/>
  <c r="BE156" i="4" s="1"/>
  <c r="BC86" i="4"/>
  <c r="BE86" i="4" s="1"/>
  <c r="BC191" i="4"/>
  <c r="BE191" i="4" s="1"/>
  <c r="BC118" i="4"/>
  <c r="BE118" i="4" s="1"/>
  <c r="BC186" i="4"/>
  <c r="BE186" i="4" s="1"/>
  <c r="BC205" i="4"/>
  <c r="BE205" i="4" s="1"/>
  <c r="BC139" i="4"/>
  <c r="BE139" i="4" s="1"/>
  <c r="BC147" i="4"/>
  <c r="BE147" i="4" s="1"/>
  <c r="BC98" i="4"/>
  <c r="BE98" i="4" s="1"/>
  <c r="BC47" i="4"/>
  <c r="BE47" i="4" s="1"/>
  <c r="BC116" i="4"/>
  <c r="BE116" i="4" s="1"/>
  <c r="DG15" i="4"/>
  <c r="DO15" i="4" s="1"/>
  <c r="DB15" i="4"/>
  <c r="DJ15" i="4" s="1"/>
  <c r="DA15" i="4"/>
  <c r="DI15" i="4" s="1"/>
  <c r="BC140" i="4"/>
  <c r="BE140" i="4" s="1"/>
  <c r="BC80" i="4"/>
  <c r="BE80" i="4" s="1"/>
  <c r="BC72" i="4"/>
  <c r="BE72" i="4" s="1"/>
  <c r="BC129" i="4"/>
  <c r="BE129" i="4" s="1"/>
  <c r="BC178" i="4"/>
  <c r="BE178" i="4" s="1"/>
  <c r="BC187" i="4"/>
  <c r="BE187" i="4" s="1"/>
  <c r="BC185" i="4"/>
  <c r="BE185" i="4" s="1"/>
  <c r="BC54" i="4"/>
  <c r="BE54" i="4" s="1"/>
  <c r="BC82" i="4"/>
  <c r="BE82" i="4" s="1"/>
  <c r="BC135" i="4"/>
  <c r="BE135" i="4" s="1"/>
  <c r="BC91" i="4"/>
  <c r="BE91" i="4" s="1"/>
  <c r="BC44" i="4"/>
  <c r="BE44" i="4" s="1"/>
  <c r="BC168" i="4"/>
  <c r="BE168" i="4" s="1"/>
  <c r="BC36" i="4"/>
  <c r="BE36" i="4" s="1"/>
  <c r="BC94" i="4"/>
  <c r="BE94" i="4" s="1"/>
  <c r="BC90" i="4"/>
  <c r="BE90" i="4" s="1"/>
  <c r="BC117" i="4"/>
  <c r="BE117" i="4" s="1"/>
  <c r="BC101" i="4"/>
  <c r="BE101" i="4" s="1"/>
  <c r="BC125" i="4"/>
  <c r="BE125" i="4" s="1"/>
  <c r="BC181" i="4"/>
  <c r="BE181" i="4" s="1"/>
  <c r="BC66" i="4"/>
  <c r="BE66" i="4" s="1"/>
  <c r="BC31" i="4"/>
  <c r="BE31" i="4" s="1"/>
  <c r="DA102" i="4"/>
  <c r="DI102" i="4" s="1"/>
  <c r="DG102" i="4"/>
  <c r="DO102" i="4" s="1"/>
  <c r="DN102" i="4"/>
  <c r="DB102" i="4"/>
  <c r="DJ102" i="4" s="1"/>
  <c r="BC167" i="4"/>
  <c r="BE167" i="4" s="1"/>
  <c r="BC55" i="4"/>
  <c r="BE55" i="4" s="1"/>
  <c r="BC69" i="4"/>
  <c r="BE69" i="4" s="1"/>
  <c r="BC188" i="4"/>
  <c r="BE188" i="4" s="1"/>
  <c r="BC24" i="4"/>
  <c r="BE24" i="4" s="1"/>
  <c r="BC19" i="4"/>
  <c r="BE19" i="4" s="1"/>
  <c r="BC202" i="4"/>
  <c r="BE202" i="4" s="1"/>
  <c r="BC62" i="4"/>
  <c r="BE62" i="4" s="1"/>
  <c r="BC192" i="4"/>
  <c r="BE192" i="4" s="1"/>
  <c r="BC14" i="4"/>
  <c r="BE14" i="4" s="1"/>
  <c r="BC171" i="4"/>
  <c r="BE171" i="4" s="1"/>
  <c r="DA113" i="4"/>
  <c r="DI113" i="4" s="1"/>
  <c r="DB113" i="4"/>
  <c r="DJ113" i="4" s="1"/>
  <c r="DK113" i="4"/>
  <c r="DG113" i="4"/>
  <c r="DO113" i="4" s="1"/>
  <c r="BC97" i="4"/>
  <c r="BE97" i="4" s="1"/>
  <c r="BC123" i="4"/>
  <c r="BE123" i="4" s="1"/>
  <c r="DG163" i="4"/>
  <c r="DO163" i="4" s="1"/>
  <c r="DB163" i="4"/>
  <c r="DJ163" i="4" s="1"/>
  <c r="DA163" i="4"/>
  <c r="DI163" i="4" s="1"/>
  <c r="BC164" i="4"/>
  <c r="BE164" i="4" s="1"/>
  <c r="BC143" i="4"/>
  <c r="BE143" i="4" s="1"/>
  <c r="BC103" i="4"/>
  <c r="BE103" i="4" s="1"/>
  <c r="BC152" i="4"/>
  <c r="BE152" i="4" s="1"/>
  <c r="BC9" i="4"/>
  <c r="BE9" i="4" s="1"/>
  <c r="BC190" i="4"/>
  <c r="BE190" i="4" s="1"/>
  <c r="BC99" i="4"/>
  <c r="BE99" i="4" s="1"/>
  <c r="BC6" i="4"/>
  <c r="BE6" i="4" s="1"/>
  <c r="BC33" i="4"/>
  <c r="BE33" i="4" s="1"/>
  <c r="BC130" i="4"/>
  <c r="BE130" i="4" s="1"/>
  <c r="BC21" i="4"/>
  <c r="BE21" i="4" s="1"/>
  <c r="BC85" i="4"/>
  <c r="BE85" i="4" s="1"/>
  <c r="BC175" i="4"/>
  <c r="BE175" i="4" s="1"/>
  <c r="BC83" i="4"/>
  <c r="BE83" i="4" s="1"/>
  <c r="DG177" i="4"/>
  <c r="DO177" i="4" s="1"/>
  <c r="DB177" i="4"/>
  <c r="DJ177" i="4" s="1"/>
  <c r="DA177" i="4"/>
  <c r="DI177" i="4" s="1"/>
  <c r="BC49" i="4"/>
  <c r="BE49" i="4" s="1"/>
  <c r="BC41" i="4"/>
  <c r="BE41" i="4" s="1"/>
  <c r="BC68" i="4"/>
  <c r="BE68" i="4" s="1"/>
  <c r="BC61" i="4"/>
  <c r="BE61" i="4" s="1"/>
  <c r="BC115" i="4"/>
  <c r="BE115" i="4" s="1"/>
  <c r="BC53" i="4"/>
  <c r="BE53" i="4" s="1"/>
  <c r="BC39" i="4"/>
  <c r="BE39" i="4" s="1"/>
  <c r="BC67" i="4"/>
  <c r="BE67" i="4" s="1"/>
  <c r="BC30" i="4"/>
  <c r="BE30" i="4" s="1"/>
  <c r="BC160" i="4"/>
  <c r="BE160" i="4" s="1"/>
  <c r="BC74" i="4"/>
  <c r="BE74" i="4" s="1"/>
  <c r="BC75" i="4"/>
  <c r="BE75" i="4" s="1"/>
  <c r="BC111" i="4"/>
  <c r="BE111" i="4" s="1"/>
  <c r="BC154" i="4"/>
  <c r="BE154" i="4" s="1"/>
  <c r="BC151" i="4"/>
  <c r="BE151" i="4" s="1"/>
  <c r="BC176" i="4"/>
  <c r="BE176" i="4" s="1"/>
  <c r="BC158" i="4"/>
  <c r="BE158" i="4" s="1"/>
  <c r="BC134" i="4"/>
  <c r="BE134" i="4" s="1"/>
  <c r="BC173" i="4"/>
  <c r="BE173" i="4" s="1"/>
  <c r="DG10" i="4"/>
  <c r="DO10" i="4" s="1"/>
  <c r="DB10" i="4"/>
  <c r="DJ10" i="4" s="1"/>
  <c r="DA10" i="4"/>
  <c r="DI10" i="4" s="1"/>
  <c r="BC42" i="4"/>
  <c r="BE42" i="4" s="1"/>
  <c r="BC150" i="4"/>
  <c r="BE150" i="4" s="1"/>
  <c r="BC26" i="4"/>
  <c r="BE26" i="4" s="1"/>
  <c r="BC161" i="4"/>
  <c r="BE161" i="4" s="1"/>
  <c r="BC210" i="4"/>
  <c r="BE210" i="4" s="1"/>
  <c r="DA146" i="4"/>
  <c r="DI146" i="4" s="1"/>
  <c r="DG146" i="4"/>
  <c r="DO146" i="4" s="1"/>
  <c r="DB146" i="4"/>
  <c r="DJ146" i="4" s="1"/>
  <c r="BC63" i="4"/>
  <c r="BE63" i="4" s="1"/>
  <c r="DG12" i="4"/>
  <c r="DO12" i="4" s="1"/>
  <c r="DB12" i="4"/>
  <c r="DJ12" i="4" s="1"/>
  <c r="DA12" i="4"/>
  <c r="DI12" i="4" s="1"/>
  <c r="BC112" i="4"/>
  <c r="BE112" i="4" s="1"/>
  <c r="BC56" i="4"/>
  <c r="BE56" i="4" s="1"/>
  <c r="BC136" i="4"/>
  <c r="BE136" i="4" s="1"/>
  <c r="BC138" i="4"/>
  <c r="BE138" i="4" s="1"/>
  <c r="BC22" i="4"/>
  <c r="BE22" i="4" s="1"/>
  <c r="DG40" i="4"/>
  <c r="DO40" i="4" s="1"/>
  <c r="DB40" i="4"/>
  <c r="DJ40" i="4" s="1"/>
  <c r="DA40" i="4"/>
  <c r="DI40" i="4" s="1"/>
  <c r="BC88" i="4"/>
  <c r="BE88" i="4" s="1"/>
  <c r="BC25" i="4"/>
  <c r="BE25" i="4" s="1"/>
  <c r="BC124" i="4"/>
  <c r="BE124" i="4" s="1"/>
  <c r="BC179" i="4"/>
  <c r="BE179" i="4" s="1"/>
  <c r="BC153" i="4"/>
  <c r="BE153" i="4" s="1"/>
  <c r="DB119" i="4"/>
  <c r="DJ119" i="4" s="1"/>
  <c r="DG119" i="4"/>
  <c r="DO119" i="4" s="1"/>
  <c r="DA119" i="4"/>
  <c r="DI119" i="4" s="1"/>
  <c r="BC17" i="4"/>
  <c r="BE17" i="4" s="1"/>
  <c r="BC110" i="4"/>
  <c r="BE110" i="4" s="1"/>
  <c r="BC196" i="4"/>
  <c r="BE196" i="4" s="1"/>
  <c r="BC81" i="4"/>
  <c r="BE81" i="4" s="1"/>
  <c r="BC109" i="4"/>
  <c r="BE109" i="4" s="1"/>
  <c r="BC122" i="4"/>
  <c r="BE122" i="4" s="1"/>
  <c r="BC76" i="4"/>
  <c r="BE76" i="4" s="1"/>
  <c r="BC201" i="4"/>
  <c r="BE201" i="4" s="1"/>
  <c r="BD79" i="4"/>
  <c r="BF79" i="4" s="1"/>
  <c r="BC149" i="4"/>
  <c r="BE149" i="4" s="1"/>
  <c r="BC59" i="4"/>
  <c r="BE59" i="4" s="1"/>
  <c r="BC142" i="4"/>
  <c r="BE142" i="4" s="1"/>
  <c r="BC198" i="4"/>
  <c r="BE198" i="4" s="1"/>
  <c r="BC46" i="4"/>
  <c r="BE46" i="4" s="1"/>
  <c r="BC208" i="4"/>
  <c r="BE208" i="4" s="1"/>
  <c r="BC29" i="4"/>
  <c r="BE29" i="4" s="1"/>
  <c r="BC174" i="4"/>
  <c r="BE174" i="4" s="1"/>
  <c r="BC183" i="4"/>
  <c r="BE183" i="4" s="1"/>
  <c r="BC84" i="4"/>
  <c r="BE84" i="4" s="1"/>
  <c r="BC184" i="4"/>
  <c r="BE184" i="4" s="1"/>
  <c r="BC58" i="4"/>
  <c r="BE58" i="4" s="1"/>
  <c r="BC13" i="4"/>
  <c r="BE13" i="4" s="1"/>
  <c r="BC203" i="4"/>
  <c r="BE203" i="4" s="1"/>
  <c r="BC104" i="4"/>
  <c r="BE104" i="4" s="1"/>
  <c r="BC204" i="4"/>
  <c r="BE204" i="4" s="1"/>
  <c r="BC23" i="4"/>
  <c r="BE23" i="4" s="1"/>
  <c r="BC77" i="4"/>
  <c r="BE77" i="4" s="1"/>
  <c r="BC35" i="4"/>
  <c r="BE35" i="4" s="1"/>
  <c r="BC16" i="4"/>
  <c r="BE16" i="4" s="1"/>
  <c r="BC34" i="4"/>
  <c r="BE34" i="4" s="1"/>
  <c r="BD120" i="4"/>
  <c r="BF120" i="4" s="1"/>
  <c r="BC209" i="4"/>
  <c r="BE209" i="4" s="1"/>
  <c r="BC131" i="4"/>
  <c r="BE131" i="4" s="1"/>
  <c r="BC137" i="4"/>
  <c r="BE137" i="4" s="1"/>
  <c r="BC50" i="4"/>
  <c r="BE50" i="4" s="1"/>
  <c r="BC89" i="4"/>
  <c r="BE89" i="4" s="1"/>
  <c r="BC52" i="4"/>
  <c r="BE52" i="4" s="1"/>
  <c r="DG7" i="4"/>
  <c r="DO7" i="4" s="1"/>
  <c r="DA7" i="4"/>
  <c r="DI7" i="4" s="1"/>
  <c r="DB7" i="4"/>
  <c r="DJ7" i="4" s="1"/>
  <c r="BC206" i="4"/>
  <c r="BE206" i="4" s="1"/>
  <c r="BC169" i="4"/>
  <c r="BE169" i="4" s="1"/>
  <c r="BC180" i="4"/>
  <c r="BE180" i="4" s="1"/>
  <c r="BC48" i="4"/>
  <c r="BE48" i="4" s="1"/>
  <c r="BC155" i="4"/>
  <c r="BE155" i="4" s="1"/>
  <c r="DG27" i="4"/>
  <c r="DO27" i="4" s="1"/>
  <c r="DA27" i="4"/>
  <c r="DI27" i="4" s="1"/>
  <c r="DB27" i="4"/>
  <c r="DJ27" i="4" s="1"/>
  <c r="BC106" i="4"/>
  <c r="BE106" i="4" s="1"/>
  <c r="DB64" i="4"/>
  <c r="DJ64" i="4" s="1"/>
  <c r="DA64" i="4"/>
  <c r="DI64" i="4" s="1"/>
  <c r="DG64" i="4"/>
  <c r="DO64" i="4" s="1"/>
  <c r="BD127" i="4"/>
  <c r="BF127" i="4" s="1"/>
  <c r="BD28" i="4" l="1"/>
  <c r="BF28" i="4" s="1"/>
  <c r="BD141" i="4"/>
  <c r="BF141" i="4" s="1"/>
  <c r="BD126" i="4"/>
  <c r="BF126" i="4" s="1"/>
  <c r="BD165" i="4"/>
  <c r="BF165" i="4" s="1"/>
  <c r="BC166" i="4"/>
  <c r="BE166" i="4" s="1"/>
  <c r="BC32" i="4"/>
  <c r="BE32" i="4" s="1"/>
  <c r="BC70" i="4"/>
  <c r="BE70" i="4" s="1"/>
  <c r="BC128" i="4"/>
  <c r="BE128" i="4" s="1"/>
  <c r="BC45" i="4"/>
  <c r="BE45" i="4" s="1"/>
  <c r="BC51" i="4"/>
  <c r="BE51" i="4" s="1"/>
  <c r="BC95" i="4"/>
  <c r="BE95" i="4" s="1"/>
  <c r="BC78" i="4"/>
  <c r="BE78" i="4" s="1"/>
  <c r="BC8" i="4"/>
  <c r="BE8" i="4" s="1"/>
  <c r="BC11" i="4"/>
  <c r="BE11" i="4" s="1"/>
  <c r="BC87" i="4"/>
  <c r="BE87" i="4" s="1"/>
  <c r="BC193" i="4"/>
  <c r="BE193" i="4" s="1"/>
  <c r="BC93" i="4"/>
  <c r="BE93" i="4" s="1"/>
  <c r="BD200" i="4"/>
  <c r="BF200" i="4" s="1"/>
  <c r="BD30" i="4"/>
  <c r="BF30" i="4" s="1"/>
  <c r="BD96" i="4"/>
  <c r="BF96" i="4" s="1"/>
  <c r="BD108" i="4"/>
  <c r="BF108" i="4" s="1"/>
  <c r="BD26" i="4"/>
  <c r="BF26" i="4" s="1"/>
  <c r="BD138" i="4"/>
  <c r="BF138" i="4" s="1"/>
  <c r="BD133" i="4"/>
  <c r="BF133" i="4" s="1"/>
  <c r="BD46" i="4"/>
  <c r="BF46" i="4" s="1"/>
  <c r="BD85" i="4"/>
  <c r="BF85" i="4" s="1"/>
  <c r="BD190" i="4"/>
  <c r="BF190" i="4" s="1"/>
  <c r="BD109" i="4"/>
  <c r="BF109" i="4" s="1"/>
  <c r="BD13" i="4"/>
  <c r="BF13" i="4" s="1"/>
  <c r="BD61" i="4"/>
  <c r="BF61" i="4" s="1"/>
  <c r="BD106" i="4"/>
  <c r="BF106" i="4" s="1"/>
  <c r="BD179" i="4"/>
  <c r="BF179" i="4" s="1"/>
  <c r="BD164" i="4"/>
  <c r="BF164" i="4" s="1"/>
  <c r="BD25" i="4"/>
  <c r="BF25" i="4" s="1"/>
  <c r="BD36" i="4"/>
  <c r="BF36" i="4" s="1"/>
  <c r="BD80" i="4"/>
  <c r="BF80" i="4" s="1"/>
  <c r="BD182" i="4"/>
  <c r="BF182" i="4" s="1"/>
  <c r="BD58" i="4"/>
  <c r="BF58" i="4" s="1"/>
  <c r="BD89" i="4"/>
  <c r="BF89" i="4" s="1"/>
  <c r="BD174" i="4"/>
  <c r="BF174" i="4" s="1"/>
  <c r="BD176" i="4"/>
  <c r="BF176" i="4" s="1"/>
  <c r="BD49" i="4"/>
  <c r="BF49" i="4" s="1"/>
  <c r="BD129" i="4"/>
  <c r="BF129" i="4" s="1"/>
  <c r="BD196" i="4"/>
  <c r="BF196" i="4" s="1"/>
  <c r="BD101" i="4"/>
  <c r="BF101" i="4" s="1"/>
  <c r="BD72" i="4"/>
  <c r="BF72" i="4" s="1"/>
  <c r="BD88" i="4"/>
  <c r="BF88" i="4" s="1"/>
  <c r="BD151" i="4"/>
  <c r="BF151" i="4" s="1"/>
  <c r="BD175" i="4"/>
  <c r="BF175" i="4" s="1"/>
  <c r="BD91" i="4"/>
  <c r="BF91" i="4" s="1"/>
  <c r="BD148" i="4"/>
  <c r="BF148" i="4" s="1"/>
  <c r="BD157" i="4"/>
  <c r="BF157" i="4" s="1"/>
  <c r="BD169" i="4"/>
  <c r="BF169" i="4" s="1"/>
  <c r="BD104" i="4"/>
  <c r="BF104" i="4" s="1"/>
  <c r="BD42" i="4"/>
  <c r="BF42" i="4" s="1"/>
  <c r="BD67" i="4"/>
  <c r="BF67" i="4" s="1"/>
  <c r="BD97" i="4"/>
  <c r="BF97" i="4" s="1"/>
  <c r="BD24" i="4"/>
  <c r="BF24" i="4" s="1"/>
  <c r="BD66" i="4"/>
  <c r="BF66" i="4" s="1"/>
  <c r="BD186" i="4"/>
  <c r="BF186" i="4" s="1"/>
  <c r="BD195" i="4"/>
  <c r="BF195" i="4" s="1"/>
  <c r="BD135" i="4"/>
  <c r="BF135" i="4" s="1"/>
  <c r="BD18" i="4"/>
  <c r="BF18" i="4" s="1"/>
  <c r="BD82" i="4"/>
  <c r="BF82" i="4" s="1"/>
  <c r="BD50" i="4"/>
  <c r="BF50" i="4" s="1"/>
  <c r="BD198" i="4"/>
  <c r="BF198" i="4" s="1"/>
  <c r="BD201" i="4"/>
  <c r="BF201" i="4" s="1"/>
  <c r="BD124" i="4"/>
  <c r="BF124" i="4" s="1"/>
  <c r="BD136" i="4"/>
  <c r="BF136" i="4" s="1"/>
  <c r="BD74" i="4"/>
  <c r="BF74" i="4" s="1"/>
  <c r="BD99" i="4"/>
  <c r="BF99" i="4" s="1"/>
  <c r="BD171" i="4"/>
  <c r="BF171" i="4" s="1"/>
  <c r="BD19" i="4"/>
  <c r="BF19" i="4" s="1"/>
  <c r="BD55" i="4"/>
  <c r="BF55" i="4" s="1"/>
  <c r="BD139" i="4"/>
  <c r="BF139" i="4" s="1"/>
  <c r="BD71" i="4"/>
  <c r="BF71" i="4" s="1"/>
  <c r="BD68" i="4"/>
  <c r="BF68" i="4" s="1"/>
  <c r="BD143" i="4"/>
  <c r="BF143" i="4" s="1"/>
  <c r="BD181" i="4"/>
  <c r="BF181" i="4" s="1"/>
  <c r="BD29" i="4"/>
  <c r="BF29" i="4" s="1"/>
  <c r="BD122" i="4"/>
  <c r="BF122" i="4" s="1"/>
  <c r="BD154" i="4"/>
  <c r="BF154" i="4" s="1"/>
  <c r="BD123" i="4"/>
  <c r="BF123" i="4" s="1"/>
  <c r="BD31" i="4"/>
  <c r="BF31" i="4" s="1"/>
  <c r="BD168" i="4"/>
  <c r="BF168" i="4" s="1"/>
  <c r="BD57" i="4"/>
  <c r="BF57" i="4" s="1"/>
  <c r="BD114" i="4"/>
  <c r="BF114" i="4" s="1"/>
  <c r="BD52" i="4"/>
  <c r="BF52" i="4" s="1"/>
  <c r="BD149" i="4"/>
  <c r="BF149" i="4" s="1"/>
  <c r="BD63" i="4"/>
  <c r="BF63" i="4" s="1"/>
  <c r="BD83" i="4"/>
  <c r="BF83" i="4" s="1"/>
  <c r="BD33" i="4"/>
  <c r="BF33" i="4" s="1"/>
  <c r="BD192" i="4"/>
  <c r="BF192" i="4" s="1"/>
  <c r="BD188" i="4"/>
  <c r="BF188" i="4" s="1"/>
  <c r="BD117" i="4"/>
  <c r="BF117" i="4" s="1"/>
  <c r="BD178" i="4"/>
  <c r="BF178" i="4" s="1"/>
  <c r="BD107" i="4"/>
  <c r="BF107" i="4" s="1"/>
  <c r="BD172" i="4"/>
  <c r="BF172" i="4" s="1"/>
  <c r="BD43" i="4"/>
  <c r="BF43" i="4" s="1"/>
  <c r="BD155" i="4"/>
  <c r="BF155" i="4" s="1"/>
  <c r="BD210" i="4"/>
  <c r="BF210" i="4" s="1"/>
  <c r="BD75" i="4"/>
  <c r="BF75" i="4" s="1"/>
  <c r="BD6" i="4"/>
  <c r="BF6" i="4" s="1"/>
  <c r="BC27" i="4"/>
  <c r="BE27" i="4" s="1"/>
  <c r="BC7" i="4"/>
  <c r="BE7" i="4" s="1"/>
  <c r="BC105" i="4"/>
  <c r="BE105" i="4" s="1"/>
  <c r="BC146" i="4"/>
  <c r="BE146" i="4" s="1"/>
  <c r="BC64" i="4"/>
  <c r="BE64" i="4" s="1"/>
  <c r="BC163" i="4"/>
  <c r="BE163" i="4" s="1"/>
  <c r="BC119" i="4"/>
  <c r="BE119" i="4" s="1"/>
  <c r="BC102" i="4"/>
  <c r="BE102" i="4" s="1"/>
  <c r="BC40" i="4"/>
  <c r="BE40" i="4" s="1"/>
  <c r="BC15" i="4"/>
  <c r="BE15" i="4" s="1"/>
  <c r="BC92" i="4"/>
  <c r="BE92" i="4" s="1"/>
  <c r="BC145" i="4"/>
  <c r="BE145" i="4" s="1"/>
  <c r="BC194" i="4"/>
  <c r="BE194" i="4" s="1"/>
  <c r="BC121" i="4"/>
  <c r="BE121" i="4" s="1"/>
  <c r="BD206" i="4"/>
  <c r="BF206" i="4" s="1"/>
  <c r="BD137" i="4"/>
  <c r="BF137" i="4" s="1"/>
  <c r="BD34" i="4"/>
  <c r="BF34" i="4" s="1"/>
  <c r="BD23" i="4"/>
  <c r="BF23" i="4" s="1"/>
  <c r="BD208" i="4"/>
  <c r="BF208" i="4" s="1"/>
  <c r="BD59" i="4"/>
  <c r="BF59" i="4" s="1"/>
  <c r="BD76" i="4"/>
  <c r="BF76" i="4" s="1"/>
  <c r="BD153" i="4"/>
  <c r="BF153" i="4" s="1"/>
  <c r="BD56" i="4"/>
  <c r="BF56" i="4" s="1"/>
  <c r="BD173" i="4"/>
  <c r="BF173" i="4" s="1"/>
  <c r="BD53" i="4"/>
  <c r="BF53" i="4" s="1"/>
  <c r="BD41" i="4"/>
  <c r="BF41" i="4" s="1"/>
  <c r="BD152" i="4"/>
  <c r="BF152" i="4" s="1"/>
  <c r="BD202" i="4"/>
  <c r="BF202" i="4" s="1"/>
  <c r="BD69" i="4"/>
  <c r="BF69" i="4" s="1"/>
  <c r="BD167" i="4"/>
  <c r="BF167" i="4" s="1"/>
  <c r="BD125" i="4"/>
  <c r="BF125" i="4" s="1"/>
  <c r="BD94" i="4"/>
  <c r="BF94" i="4" s="1"/>
  <c r="BD44" i="4"/>
  <c r="BF44" i="4" s="1"/>
  <c r="BD185" i="4"/>
  <c r="BF185" i="4" s="1"/>
  <c r="BD47" i="4"/>
  <c r="BF47" i="4" s="1"/>
  <c r="BD205" i="4"/>
  <c r="BF205" i="4" s="1"/>
  <c r="BD156" i="4"/>
  <c r="BF156" i="4" s="1"/>
  <c r="BD65" i="4"/>
  <c r="BF65" i="4" s="1"/>
  <c r="BD48" i="4"/>
  <c r="BF48" i="4" s="1"/>
  <c r="BD131" i="4"/>
  <c r="BF131" i="4" s="1"/>
  <c r="BD16" i="4"/>
  <c r="BF16" i="4" s="1"/>
  <c r="BD204" i="4"/>
  <c r="BF204" i="4" s="1"/>
  <c r="BD183" i="4"/>
  <c r="BF183" i="4" s="1"/>
  <c r="BD110" i="4"/>
  <c r="BF110" i="4" s="1"/>
  <c r="BD22" i="4"/>
  <c r="BF22" i="4" s="1"/>
  <c r="BD112" i="4"/>
  <c r="BF112" i="4" s="1"/>
  <c r="BD161" i="4"/>
  <c r="BF161" i="4" s="1"/>
  <c r="BD134" i="4"/>
  <c r="BF134" i="4" s="1"/>
  <c r="BD115" i="4"/>
  <c r="BF115" i="4" s="1"/>
  <c r="BD21" i="4"/>
  <c r="BF21" i="4" s="1"/>
  <c r="BD103" i="4"/>
  <c r="BF103" i="4" s="1"/>
  <c r="BD14" i="4"/>
  <c r="BF14" i="4" s="1"/>
  <c r="BD187" i="4"/>
  <c r="BF187" i="4" s="1"/>
  <c r="BD98" i="4"/>
  <c r="BF98" i="4" s="1"/>
  <c r="BC177" i="4"/>
  <c r="BE177" i="4" s="1"/>
  <c r="BD207" i="4"/>
  <c r="BF207" i="4" s="1"/>
  <c r="BD162" i="4"/>
  <c r="BF162" i="4" s="1"/>
  <c r="BC12" i="4"/>
  <c r="BE12" i="4" s="1"/>
  <c r="BD180" i="4"/>
  <c r="BF180" i="4" s="1"/>
  <c r="BD209" i="4"/>
  <c r="BF209" i="4" s="1"/>
  <c r="BD35" i="4"/>
  <c r="BF35" i="4" s="1"/>
  <c r="BD184" i="4"/>
  <c r="BF184" i="4" s="1"/>
  <c r="BD17" i="4"/>
  <c r="BF17" i="4" s="1"/>
  <c r="BD160" i="4"/>
  <c r="BF160" i="4" s="1"/>
  <c r="BD39" i="4"/>
  <c r="BF39" i="4" s="1"/>
  <c r="BD130" i="4"/>
  <c r="BF130" i="4" s="1"/>
  <c r="BD140" i="4"/>
  <c r="BF140" i="4" s="1"/>
  <c r="BD147" i="4"/>
  <c r="BF147" i="4" s="1"/>
  <c r="BD191" i="4"/>
  <c r="BF191" i="4" s="1"/>
  <c r="BD144" i="4"/>
  <c r="BF144" i="4" s="1"/>
  <c r="BD20" i="4"/>
  <c r="BF20" i="4" s="1"/>
  <c r="BC113" i="4"/>
  <c r="BE113" i="4" s="1"/>
  <c r="BC197" i="4"/>
  <c r="BE197" i="4" s="1"/>
  <c r="BD77" i="4"/>
  <c r="BF77" i="4" s="1"/>
  <c r="BD203" i="4"/>
  <c r="BF203" i="4" s="1"/>
  <c r="BD84" i="4"/>
  <c r="BF84" i="4" s="1"/>
  <c r="BD142" i="4"/>
  <c r="BF142" i="4" s="1"/>
  <c r="BD81" i="4"/>
  <c r="BF81" i="4" s="1"/>
  <c r="BD150" i="4"/>
  <c r="BF150" i="4" s="1"/>
  <c r="BD158" i="4"/>
  <c r="BF158" i="4" s="1"/>
  <c r="BD111" i="4"/>
  <c r="BF111" i="4" s="1"/>
  <c r="BD9" i="4"/>
  <c r="BF9" i="4" s="1"/>
  <c r="BD62" i="4"/>
  <c r="BF62" i="4" s="1"/>
  <c r="BD90" i="4"/>
  <c r="BF90" i="4" s="1"/>
  <c r="BD54" i="4"/>
  <c r="BF54" i="4" s="1"/>
  <c r="BD116" i="4"/>
  <c r="BF116" i="4" s="1"/>
  <c r="BD118" i="4"/>
  <c r="BF118" i="4" s="1"/>
  <c r="BD86" i="4"/>
  <c r="BF86" i="4" s="1"/>
  <c r="BD60" i="4"/>
  <c r="BF60" i="4" s="1"/>
  <c r="BD170" i="4"/>
  <c r="BF170" i="4" s="1"/>
  <c r="BD159" i="4"/>
  <c r="BF159" i="4" s="1"/>
  <c r="BC10" i="4"/>
  <c r="BE10" i="4" s="1"/>
  <c r="BD11" i="4" l="1"/>
  <c r="BF11" i="4" s="1"/>
  <c r="BD166" i="4"/>
  <c r="BF166" i="4" s="1"/>
  <c r="BD87" i="4"/>
  <c r="BF87" i="4" s="1"/>
  <c r="BD70" i="4"/>
  <c r="BF70" i="4" s="1"/>
  <c r="BD8" i="4"/>
  <c r="BF8" i="4" s="1"/>
  <c r="BD193" i="4"/>
  <c r="BF193" i="4" s="1"/>
  <c r="BD32" i="4"/>
  <c r="BF32" i="4" s="1"/>
  <c r="BD51" i="4"/>
  <c r="BF51" i="4" s="1"/>
  <c r="BD45" i="4"/>
  <c r="BF45" i="4" s="1"/>
  <c r="BD93" i="4"/>
  <c r="BF93" i="4" s="1"/>
  <c r="BD95" i="4"/>
  <c r="BF95" i="4" s="1"/>
  <c r="BD128" i="4"/>
  <c r="BF128" i="4" s="1"/>
  <c r="BD78" i="4"/>
  <c r="BF78" i="4" s="1"/>
  <c r="BD64" i="4"/>
  <c r="BF64" i="4" s="1"/>
  <c r="BD105" i="4"/>
  <c r="BF105" i="4" s="1"/>
  <c r="BD119" i="4"/>
  <c r="BF119" i="4" s="1"/>
  <c r="BD27" i="4"/>
  <c r="BF27" i="4" s="1"/>
  <c r="BD12" i="4"/>
  <c r="BF12" i="4" s="1"/>
  <c r="BD121" i="4"/>
  <c r="BF121" i="4" s="1"/>
  <c r="BD163" i="4"/>
  <c r="BF163" i="4" s="1"/>
  <c r="BD10" i="4"/>
  <c r="BF10" i="4" s="1"/>
  <c r="BD197" i="4"/>
  <c r="BF197" i="4" s="1"/>
  <c r="BD145" i="4"/>
  <c r="BF145" i="4" s="1"/>
  <c r="BD102" i="4"/>
  <c r="BF102" i="4" s="1"/>
  <c r="BD146" i="4"/>
  <c r="BF146" i="4" s="1"/>
  <c r="BD113" i="4"/>
  <c r="BF113" i="4" s="1"/>
  <c r="BD92" i="4"/>
  <c r="BF92" i="4" s="1"/>
  <c r="BD7" i="4"/>
  <c r="BF7" i="4" s="1"/>
  <c r="BD15" i="4"/>
  <c r="BF15" i="4" s="1"/>
  <c r="BD177" i="4"/>
  <c r="BF177" i="4" s="1"/>
  <c r="BD194" i="4"/>
  <c r="BF194" i="4" s="1"/>
  <c r="BD40" i="4"/>
  <c r="BF40" i="4" s="1"/>
  <c r="CO1" i="4"/>
  <c r="CO212" i="4"/>
  <c r="CO226" i="4" s="1"/>
  <c r="CP5" i="4"/>
  <c r="CP1" i="4" l="1"/>
  <c r="CQ5" i="4"/>
  <c r="CR5" i="4" s="1"/>
  <c r="CP212" i="4"/>
  <c r="CP226" i="4" s="1"/>
  <c r="CR1" i="4" l="1"/>
  <c r="CR212" i="4"/>
  <c r="CR226" i="4" s="1"/>
  <c r="CS5" i="4"/>
  <c r="CV1" i="4" s="1"/>
  <c r="D64" i="1" s="1"/>
  <c r="CQ1" i="4"/>
  <c r="CQ212" i="4"/>
  <c r="CQ226" i="4" s="1"/>
  <c r="CT1" i="4" l="1"/>
  <c r="CU1" i="4"/>
  <c r="D63" i="1" s="1"/>
  <c r="DC5" i="4"/>
  <c r="DF5" i="4"/>
  <c r="DE5" i="4"/>
  <c r="DD5" i="4"/>
  <c r="CS1" i="4"/>
  <c r="DG5" i="4"/>
  <c r="DH1" i="4" s="1"/>
  <c r="CS212" i="4"/>
  <c r="CS226" i="4" s="1"/>
  <c r="DB5" i="4"/>
  <c r="DA5" i="4"/>
  <c r="E67" i="1" l="1"/>
  <c r="F67" i="1" s="1"/>
  <c r="D19" i="5" s="1"/>
  <c r="F19" i="5" s="1"/>
  <c r="H19" i="5" s="1"/>
  <c r="D69" i="1"/>
  <c r="E63" i="1"/>
  <c r="E64" i="1"/>
  <c r="F64" i="1" s="1"/>
  <c r="D16" i="5" s="1"/>
  <c r="F16" i="5" s="1"/>
  <c r="H16" i="5" s="1"/>
  <c r="E65" i="1"/>
  <c r="F65" i="1" s="1"/>
  <c r="D17" i="5" s="1"/>
  <c r="F17" i="5" s="1"/>
  <c r="H17" i="5" s="1"/>
  <c r="E66" i="1"/>
  <c r="F66" i="1" s="1"/>
  <c r="D18" i="5" s="1"/>
  <c r="F18" i="5" s="1"/>
  <c r="H18" i="5" s="1"/>
  <c r="DF212" i="4"/>
  <c r="DF226" i="4" s="1"/>
  <c r="DF1" i="4"/>
  <c r="DN5" i="4"/>
  <c r="DE1" i="4"/>
  <c r="DE212" i="4"/>
  <c r="DE226" i="4" s="1"/>
  <c r="DM5" i="4"/>
  <c r="DA1" i="4"/>
  <c r="DA212" i="4"/>
  <c r="DA226" i="4" s="1"/>
  <c r="DB1" i="4"/>
  <c r="DJ5" i="4"/>
  <c r="DB212" i="4"/>
  <c r="DB226" i="4" s="1"/>
  <c r="DL5" i="4"/>
  <c r="DD1" i="4"/>
  <c r="DD212" i="4"/>
  <c r="DD226" i="4" s="1"/>
  <c r="DO5" i="4"/>
  <c r="DG1" i="4"/>
  <c r="DG212" i="4"/>
  <c r="DG226" i="4" s="1"/>
  <c r="DC1" i="4"/>
  <c r="DC212" i="4"/>
  <c r="DC226" i="4" s="1"/>
  <c r="DK5" i="4"/>
  <c r="DI5" i="4"/>
  <c r="H11" i="7" l="1"/>
  <c r="H10" i="7"/>
  <c r="I18" i="5"/>
  <c r="G11" i="7"/>
  <c r="I17" i="5"/>
  <c r="G10" i="7"/>
  <c r="F10" i="7"/>
  <c r="F11" i="7"/>
  <c r="I16" i="5"/>
  <c r="I10" i="7"/>
  <c r="I11" i="7"/>
  <c r="I19" i="5"/>
  <c r="F63" i="1"/>
  <c r="E69" i="1"/>
  <c r="DM212" i="4"/>
  <c r="DM226" i="4" s="1"/>
  <c r="DM1" i="4"/>
  <c r="DO1" i="4"/>
  <c r="DO212" i="4"/>
  <c r="DO226" i="4" s="1"/>
  <c r="DK1" i="4"/>
  <c r="DK212" i="4"/>
  <c r="DK226" i="4" s="1"/>
  <c r="DL1" i="4"/>
  <c r="DL212" i="4"/>
  <c r="DL226" i="4" s="1"/>
  <c r="DI1" i="4"/>
  <c r="DI212" i="4"/>
  <c r="DI226" i="4" s="1"/>
  <c r="BC5" i="4"/>
  <c r="DN212" i="4"/>
  <c r="DN226" i="4" s="1"/>
  <c r="DN1" i="4"/>
  <c r="DJ1" i="4"/>
  <c r="DJ212" i="4"/>
  <c r="B45" i="7" l="1"/>
  <c r="B44" i="7"/>
  <c r="B43" i="7"/>
  <c r="B42" i="7"/>
  <c r="D15" i="5"/>
  <c r="F69" i="1"/>
  <c r="DJ226" i="4"/>
  <c r="BC212" i="4"/>
  <c r="BC226" i="4" s="1"/>
  <c r="BC1" i="4"/>
  <c r="BE5" i="4"/>
  <c r="BD5" i="4"/>
  <c r="BF5" i="4" s="1"/>
  <c r="BI1" i="4" s="1"/>
  <c r="BG1" i="4" l="1"/>
  <c r="BH1" i="4"/>
  <c r="F15" i="5"/>
  <c r="H15" i="5" s="1"/>
  <c r="D21" i="5"/>
  <c r="BE1" i="4"/>
  <c r="BF1" i="4"/>
  <c r="BD212" i="4"/>
  <c r="BD226" i="4" s="1"/>
  <c r="BD1" i="4"/>
  <c r="H21" i="5" l="1"/>
  <c r="I15" i="5"/>
  <c r="I21" i="5" s="1"/>
  <c r="E10" i="7"/>
  <c r="E11" i="7"/>
  <c r="F21" i="5"/>
  <c r="B41"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Tescher, Adam J.</author>
  </authors>
  <commentList>
    <comment ref="C8" authorId="0" shapeId="0" xr:uid="{86A92EDD-8ACD-4A95-97D4-A981C4E01D6D}">
      <text>
        <r>
          <rPr>
            <b/>
            <sz val="9"/>
            <color indexed="81"/>
            <rFont val="Tahoma"/>
            <charset val="1"/>
          </rPr>
          <t>Tescher, Adam J.:</t>
        </r>
        <r>
          <rPr>
            <sz val="9"/>
            <color indexed="81"/>
            <rFont val="Tahoma"/>
            <charset val="1"/>
          </rPr>
          <t xml:space="preserve">
 - Enter County District Number into C7 (XX-XXX)
 - Complete cells in light green Below (Sections A, B, E, &amp; G)
</t>
        </r>
      </text>
    </comment>
    <comment ref="D16" authorId="0" shapeId="0" xr:uid="{507D25D9-1F41-4F5C-8E17-3F0DA812AEA4}">
      <text>
        <r>
          <rPr>
            <b/>
            <sz val="9"/>
            <color indexed="81"/>
            <rFont val="Tahoma"/>
            <charset val="1"/>
          </rPr>
          <t>Tescher, Adam J.:</t>
        </r>
        <r>
          <rPr>
            <sz val="9"/>
            <color indexed="81"/>
            <rFont val="Tahoma"/>
            <charset val="1"/>
          </rPr>
          <t xml:space="preserve">
Lines 1-7 are pulled from the Pupil Membership Summary(Detail) in STARS enrollment report finalized with the June 30, 2026 submission. May have adjustments for students is greater than 1.0 ADM</t>
        </r>
      </text>
    </comment>
    <comment ref="D29" authorId="0" shapeId="0" xr:uid="{BB1FF75B-9283-4054-B5F8-F024F4D3AB6E}">
      <text>
        <r>
          <rPr>
            <b/>
            <sz val="9"/>
            <color indexed="81"/>
            <rFont val="Tahoma"/>
            <charset val="1"/>
          </rPr>
          <t>Tescher, Adam J.:</t>
        </r>
        <r>
          <rPr>
            <sz val="9"/>
            <color indexed="81"/>
            <rFont val="Tahoma"/>
            <charset val="1"/>
          </rPr>
          <t xml:space="preserve">
Lines 12 &amp; 13, on time funding is automatically calculated when lines 1-7 and Section G is completed. </t>
        </r>
      </text>
    </comment>
    <comment ref="D31" authorId="0" shapeId="0" xr:uid="{DD2D2935-5030-4FAA-99B8-426771DFDBB5}">
      <text>
        <r>
          <rPr>
            <b/>
            <sz val="9"/>
            <color indexed="81"/>
            <rFont val="Tahoma"/>
            <charset val="1"/>
          </rPr>
          <t>Tescher, Adam J.:</t>
        </r>
        <r>
          <rPr>
            <sz val="9"/>
            <color indexed="81"/>
            <rFont val="Tahoma"/>
            <charset val="1"/>
          </rPr>
          <t xml:space="preserve">
ELL students must have annual plan in 2025-26, must have annual assessment in 2025-26.</t>
        </r>
      </text>
    </comment>
    <comment ref="D34" authorId="0" shapeId="0" xr:uid="{AC5B996B-A70F-42C1-A90A-FD83289C7977}">
      <text>
        <r>
          <rPr>
            <b/>
            <sz val="9"/>
            <color indexed="81"/>
            <rFont val="Tahoma"/>
            <charset val="1"/>
          </rPr>
          <t>Tescher, Adam J.:</t>
        </r>
        <r>
          <rPr>
            <sz val="9"/>
            <color indexed="81"/>
            <rFont val="Tahoma"/>
            <charset val="1"/>
          </rPr>
          <t xml:space="preserve">
Rolling 3 year average percentage of students in grades 3-8 on free and reduced priced lunch multiplied by line 7 (Total ADM). </t>
        </r>
      </text>
    </comment>
    <comment ref="D35" authorId="0" shapeId="0" xr:uid="{659AA2E6-7343-4E44-9D7C-8A43B9B2C51E}">
      <text>
        <r>
          <rPr>
            <b/>
            <sz val="9"/>
            <color indexed="81"/>
            <rFont val="Tahoma"/>
            <charset val="1"/>
          </rPr>
          <t>Tescher, Adam J.:</t>
        </r>
        <r>
          <rPr>
            <sz val="9"/>
            <color indexed="81"/>
            <rFont val="Tahoma"/>
            <charset val="1"/>
          </rPr>
          <t xml:space="preserve">
Home educated students that are monitored in accordance with NDCC 15.1-23-06</t>
        </r>
      </text>
    </comment>
    <comment ref="D38" authorId="0" shapeId="0" xr:uid="{AF2AD3DF-4DB7-438C-8BC6-7939D15C3EBF}">
      <text>
        <r>
          <rPr>
            <b/>
            <sz val="9"/>
            <color indexed="81"/>
            <rFont val="Tahoma"/>
            <charset val="1"/>
          </rPr>
          <t>Tescher, Adam J.:</t>
        </r>
        <r>
          <rPr>
            <sz val="9"/>
            <color indexed="81"/>
            <rFont val="Tahoma"/>
            <charset val="1"/>
          </rPr>
          <t xml:space="preserve">
Summer School ADM will use the summer of 2026 enrollments</t>
        </r>
      </text>
    </comment>
    <comment ref="F45" authorId="0" shapeId="0" xr:uid="{494EF37B-1AC1-4179-840F-F9A58B453600}">
      <text>
        <r>
          <rPr>
            <b/>
            <sz val="9"/>
            <color indexed="81"/>
            <rFont val="Tahoma"/>
            <charset val="1"/>
          </rPr>
          <t>Tescher, Adam J.:</t>
        </r>
        <r>
          <rPr>
            <sz val="9"/>
            <color indexed="81"/>
            <rFont val="Tahoma"/>
            <charset val="1"/>
          </rPr>
          <t xml:space="preserve">
ADM for students enrolled in a virtual school</t>
        </r>
      </text>
    </comment>
    <comment ref="F54" authorId="0" shapeId="0" xr:uid="{55DBB78C-97EE-4775-BE1F-1AA89979C1AA}">
      <text>
        <r>
          <rPr>
            <b/>
            <sz val="9"/>
            <color indexed="81"/>
            <rFont val="Tahoma"/>
            <charset val="1"/>
          </rPr>
          <t>Tescher, Adam J.:</t>
        </r>
        <r>
          <rPr>
            <sz val="9"/>
            <color indexed="81"/>
            <rFont val="Tahoma"/>
            <charset val="1"/>
          </rPr>
          <t xml:space="preserve">
School districts are receiving 15% of the transition minimum calculation, this is the last year of the transition minimum calculation. </t>
        </r>
      </text>
    </comment>
    <comment ref="C77" authorId="0" shapeId="0" xr:uid="{57865ABE-AAA9-47EE-A3A8-941FADAE96E7}">
      <text>
        <r>
          <rPr>
            <b/>
            <sz val="9"/>
            <color indexed="81"/>
            <rFont val="Tahoma"/>
            <charset val="1"/>
          </rPr>
          <t>Tescher, Adam J.:</t>
        </r>
        <r>
          <rPr>
            <sz val="9"/>
            <color indexed="81"/>
            <rFont val="Tahoma"/>
            <charset val="1"/>
          </rPr>
          <t xml:space="preserve">
1300 Tuition is reported in the 2025-26 LEA Financial Report, does not include 1350 Adult Ed, 1380 Residential, Out of State Tuition, or Special Ed Tuition
</t>
        </r>
      </text>
    </comment>
    <comment ref="C78" authorId="0" shapeId="0" xr:uid="{9E7A8D52-4D15-4E46-8BEF-B9BE0703A98A}">
      <text>
        <r>
          <rPr>
            <b/>
            <sz val="9"/>
            <color indexed="81"/>
            <rFont val="Tahoma"/>
            <charset val="1"/>
          </rPr>
          <t>Tescher, Adam J.:</t>
        </r>
        <r>
          <rPr>
            <sz val="9"/>
            <color indexed="81"/>
            <rFont val="Tahoma"/>
            <charset val="1"/>
          </rPr>
          <t xml:space="preserve">
2025 26 Oil and Gas Production Tax as well as Coal Revenue as reported by ND State Treasurer on their website, may be adjusted for a loan using these funds. </t>
        </r>
      </text>
    </comment>
    <comment ref="C79" authorId="0" shapeId="0" xr:uid="{2C3C9C08-9710-45F9-9AE4-1D0B413DA512}">
      <text>
        <r>
          <rPr>
            <b/>
            <sz val="9"/>
            <color indexed="81"/>
            <rFont val="Tahoma"/>
            <charset val="1"/>
          </rPr>
          <t>Tescher, Adam J.:</t>
        </r>
        <r>
          <rPr>
            <sz val="9"/>
            <color indexed="81"/>
            <rFont val="Tahoma"/>
            <charset val="1"/>
          </rPr>
          <t xml:space="preserve">
Lines 39-42 are reported from County Treasurer for 2025-26, NDDPI collects these reports in the fall of 2026.</t>
        </r>
      </text>
    </comment>
    <comment ref="F87" authorId="0" shapeId="0" xr:uid="{56A7A1C8-F5E3-49FD-8840-7393B66B717E}">
      <text>
        <r>
          <rPr>
            <b/>
            <sz val="9"/>
            <color indexed="81"/>
            <rFont val="Tahoma"/>
            <charset val="1"/>
          </rPr>
          <t>Tescher, Adam J.:</t>
        </r>
        <r>
          <rPr>
            <sz val="9"/>
            <color indexed="81"/>
            <rFont val="Tahoma"/>
            <charset val="1"/>
          </rPr>
          <t xml:space="preserve">
2025-26 Taxable Valuation reported to NDDPI in December of 2025, should not change unless there was an error reported
</t>
        </r>
      </text>
    </comment>
    <comment ref="D104" authorId="0" shapeId="0" xr:uid="{9269C777-4EC6-420E-B2D6-9DE442823B19}">
      <text>
        <r>
          <rPr>
            <b/>
            <sz val="9"/>
            <color indexed="81"/>
            <rFont val="Tahoma"/>
            <charset val="1"/>
          </rPr>
          <t>Tescher, Adam J.:</t>
        </r>
        <r>
          <rPr>
            <sz val="9"/>
            <color indexed="81"/>
            <rFont val="Tahoma"/>
            <charset val="1"/>
          </rPr>
          <t xml:space="preserve">
Miles and Runs are pulled from the 2025-2026 Transportation report. 
Must pull out non-reimbursable miles for open enrolled students. </t>
        </r>
      </text>
    </comment>
    <comment ref="D108" authorId="0" shapeId="0" xr:uid="{1ECA5823-FCA2-4788-8C8A-48B966164EBC}">
      <text>
        <r>
          <rPr>
            <b/>
            <sz val="9"/>
            <color indexed="81"/>
            <rFont val="Tahoma"/>
            <charset val="1"/>
          </rPr>
          <t>Tescher, Adam J.:</t>
        </r>
        <r>
          <rPr>
            <sz val="9"/>
            <color indexed="81"/>
            <rFont val="Tahoma"/>
            <charset val="1"/>
          </rPr>
          <t xml:space="preserve">
District Square miles are reported by school district on 2025-2026 LEA Fall Report (Sections of Land)</t>
        </r>
      </text>
    </comment>
    <comment ref="D109" authorId="0" shapeId="0" xr:uid="{418336D4-B28E-40D3-A3A4-FF007DB6F543}">
      <text>
        <r>
          <rPr>
            <b/>
            <sz val="9"/>
            <color indexed="81"/>
            <rFont val="Tahoma"/>
            <charset val="1"/>
          </rPr>
          <t>Tescher, Adam J.:</t>
        </r>
        <r>
          <rPr>
            <sz val="9"/>
            <color indexed="81"/>
            <rFont val="Tahoma"/>
            <charset val="1"/>
          </rPr>
          <t xml:space="preserve">
2025-26 in person schools that have students enrolled. (Fall Enrollment-School)</t>
        </r>
      </text>
    </comment>
    <comment ref="F136" authorId="0" shapeId="0" xr:uid="{12C217B4-DBBB-4BDF-8795-3A6618677701}">
      <text>
        <r>
          <rPr>
            <b/>
            <sz val="9"/>
            <color indexed="81"/>
            <rFont val="Tahoma"/>
            <charset val="1"/>
          </rPr>
          <t>Tescher, Adam J.:</t>
        </r>
        <r>
          <rPr>
            <sz val="9"/>
            <color indexed="81"/>
            <rFont val="Tahoma"/>
            <charset val="1"/>
          </rPr>
          <t xml:space="preserve">
September 10, 2026 K-12 enrollment.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Tescher, Adam J.</author>
    <author>Coleman, Jerry A.</author>
  </authors>
  <commentList>
    <comment ref="AC4" authorId="0" shapeId="0" xr:uid="{00000000-0006-0000-0400-000001000000}">
      <text>
        <r>
          <rPr>
            <b/>
            <sz val="9"/>
            <color indexed="81"/>
            <rFont val="Tahoma"/>
            <family val="2"/>
          </rPr>
          <t>Tescher, Adam J.:</t>
        </r>
        <r>
          <rPr>
            <sz val="9"/>
            <color indexed="81"/>
            <rFont val="Tahoma"/>
            <family val="2"/>
          </rPr>
          <t xml:space="preserve">
Need to subtract ALT HS from numbers brought in from County Projection
</t>
        </r>
      </text>
    </comment>
    <comment ref="AD4" authorId="0" shapeId="0" xr:uid="{00000000-0006-0000-0400-000002000000}">
      <text>
        <r>
          <rPr>
            <b/>
            <sz val="9"/>
            <color indexed="81"/>
            <rFont val="Tahoma"/>
            <family val="2"/>
          </rPr>
          <t>Tescher, Adam J.:</t>
        </r>
        <r>
          <rPr>
            <sz val="9"/>
            <color indexed="81"/>
            <rFont val="Tahoma"/>
            <family val="2"/>
          </rPr>
          <t xml:space="preserve">
Use Historical Data (Do not Update)</t>
        </r>
      </text>
    </comment>
    <comment ref="BB4" authorId="0" shapeId="0" xr:uid="{00000000-0006-0000-0400-000003000000}">
      <text>
        <r>
          <rPr>
            <b/>
            <sz val="9"/>
            <color indexed="81"/>
            <rFont val="Tahoma"/>
            <family val="2"/>
          </rPr>
          <t>Tescher, Adam J.:</t>
        </r>
        <r>
          <rPr>
            <sz val="9"/>
            <color indexed="81"/>
            <rFont val="Tahoma"/>
            <family val="2"/>
          </rPr>
          <t xml:space="preserve">
Use FndAid Most recent revenue Worksheed to bring in contribtions from Property Tax
</t>
        </r>
      </text>
    </comment>
    <comment ref="BC4" authorId="1" shapeId="0" xr:uid="{00000000-0006-0000-0400-000004000000}">
      <text>
        <r>
          <rPr>
            <b/>
            <sz val="8"/>
            <color indexed="81"/>
            <rFont val="Tahoma"/>
            <family val="2"/>
          </rPr>
          <t>Max(adjustment,Min(0,Entitlement)</t>
        </r>
        <r>
          <rPr>
            <sz val="8"/>
            <color indexed="81"/>
            <rFont val="Tahoma"/>
            <family val="2"/>
          </rPr>
          <t xml:space="preserve">
</t>
        </r>
      </text>
    </comment>
    <comment ref="BD4" authorId="1" shapeId="0" xr:uid="{00000000-0006-0000-0400-000005000000}">
      <text>
        <r>
          <rPr>
            <b/>
            <sz val="8"/>
            <color indexed="81"/>
            <rFont val="Tahoma"/>
            <family val="2"/>
          </rPr>
          <t>Max(Adjustment,Min(0,-Entitlement-SpedAdjustment)</t>
        </r>
        <r>
          <rPr>
            <sz val="8"/>
            <color indexed="81"/>
            <rFont val="Tahoma"/>
            <family val="2"/>
          </rPr>
          <t xml:space="preserve">
</t>
        </r>
      </text>
    </comment>
    <comment ref="T214" authorId="0" shapeId="0" xr:uid="{79F8EBFC-CC48-470B-B63F-EF9FF76223F7}">
      <text>
        <r>
          <rPr>
            <b/>
            <sz val="9"/>
            <color indexed="81"/>
            <rFont val="Tahoma"/>
            <family val="2"/>
          </rPr>
          <t>Tescher, Adam J.:</t>
        </r>
        <r>
          <rPr>
            <sz val="9"/>
            <color indexed="81"/>
            <rFont val="Tahoma"/>
            <family val="2"/>
          </rPr>
          <t xml:space="preserve">
Halliday</t>
        </r>
      </text>
    </comment>
    <comment ref="V214" authorId="0" shapeId="0" xr:uid="{4A20879F-CD5D-4F3A-B964-8961777945D8}">
      <text>
        <r>
          <rPr>
            <b/>
            <sz val="9"/>
            <color indexed="81"/>
            <rFont val="Tahoma"/>
            <family val="2"/>
          </rPr>
          <t>Tescher, Adam J.:</t>
        </r>
        <r>
          <rPr>
            <sz val="9"/>
            <color indexed="81"/>
            <rFont val="Tahoma"/>
            <family val="2"/>
          </rPr>
          <t xml:space="preserve">
Bakker
</t>
        </r>
      </text>
    </comment>
    <comment ref="W214" authorId="0" shapeId="0" xr:uid="{33C04AE8-3F6C-4B1D-811B-75755D2C1972}">
      <text>
        <r>
          <rPr>
            <b/>
            <sz val="9"/>
            <color indexed="81"/>
            <rFont val="Tahoma"/>
            <family val="2"/>
          </rPr>
          <t>Tescher, Adam J.:</t>
        </r>
        <r>
          <rPr>
            <sz val="9"/>
            <color indexed="81"/>
            <rFont val="Tahoma"/>
            <family val="2"/>
          </rPr>
          <t xml:space="preserve">
Bakker</t>
        </r>
      </text>
    </comment>
    <comment ref="X214" authorId="0" shapeId="0" xr:uid="{91B5106C-93A2-4510-A4A1-67801D6C7C4D}">
      <text>
        <r>
          <rPr>
            <b/>
            <sz val="9"/>
            <color indexed="81"/>
            <rFont val="Tahoma"/>
            <family val="2"/>
          </rPr>
          <t>Tescher, Adam J.:</t>
        </r>
        <r>
          <rPr>
            <sz val="9"/>
            <color indexed="81"/>
            <rFont val="Tahoma"/>
            <family val="2"/>
          </rPr>
          <t xml:space="preserve">
Off By Bakker
(Dissolved)</t>
        </r>
      </text>
    </comment>
    <comment ref="Y214" authorId="0" shapeId="0" xr:uid="{47E4BC00-CCFE-4E03-9643-1D6F4E23F710}">
      <text>
        <r>
          <rPr>
            <b/>
            <sz val="9"/>
            <color indexed="81"/>
            <rFont val="Tahoma"/>
            <family val="2"/>
          </rPr>
          <t>Tescher, Adam J.:</t>
        </r>
        <r>
          <rPr>
            <sz val="9"/>
            <color indexed="81"/>
            <rFont val="Tahoma"/>
            <family val="2"/>
          </rPr>
          <t xml:space="preserve">
Ellendale, Did not increase PreK ADM because of the highest at the next lowest calculation. Rounding 2 4 decimals caused a decrease of $110 for increasing ADM
</t>
        </r>
      </text>
    </comment>
    <comment ref="AB214" authorId="0" shapeId="0" xr:uid="{D59E7888-5C36-4D17-AD00-35F109FAD9CB}">
      <text>
        <r>
          <rPr>
            <b/>
            <sz val="9"/>
            <color indexed="81"/>
            <rFont val="Tahoma"/>
            <family val="2"/>
          </rPr>
          <t>Tescher, Adam J.:</t>
        </r>
        <r>
          <rPr>
            <sz val="9"/>
            <color indexed="81"/>
            <rFont val="Tahoma"/>
            <family val="2"/>
          </rPr>
          <t xml:space="preserve">
Edmore</t>
        </r>
      </text>
    </comment>
    <comment ref="BA214" authorId="0" shapeId="0" xr:uid="{2F9C7121-C549-4CE1-B89A-84B55438C2D7}">
      <text>
        <r>
          <rPr>
            <b/>
            <sz val="9"/>
            <color indexed="81"/>
            <rFont val="Tahoma"/>
            <charset val="1"/>
          </rPr>
          <t>Tescher, Adam J.:</t>
        </r>
        <r>
          <rPr>
            <sz val="9"/>
            <color indexed="81"/>
            <rFont val="Tahoma"/>
            <charset val="1"/>
          </rPr>
          <t xml:space="preserve">
For Budgeting purposes, made all districts without a transportation report 0 for the cap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8" savePassword="1" background="1" saveData="1">
    <dbPr connection="DSN=Excel Files;DBQ=N:\FndAid27\2026 08\Revenue Worksheet 2026 08.xlsm;DefaultDir=N:\;Driver={Microsoft Excel Driver (*.xls, *.xlsx, *.xlsm, *.xlsb)};DriverId=1046;FIL=Excel 12.0;MaxBufferSize=8192;PageTimeout=10;" command="SELECT Data3.`Pmt Line`, Data3.`Adj Code`, Data3.Description, Data3.Date, Data3.`Acct Code`, Data3.`Adj Amount`, Data3.Comment_x000d__x000a_FROM `N:\FndAid27\2026 08\Data 2026 08.xlsm`.Data3 Data3 Where Data3.CoDist = '08-001' ORDER BY Data3.`Pmt Line`, Data3.`Adj Code`, Data3.`Comment`  UNION SELECT Data3.`Pmt Line`, Data3.`Adj Code`, Data3.Description, Data3.Date, Data3.`Acct Code`, Data3.`Adj Amount`, Data3.`Comment`_x000d__x000a_FROM `N:\FndAid27\2026 08\Data4 2026 08.xlsm`.Data3 Data3 Where Data3.CoDist = '08-001' ORDER BY Data3.`Pmt Line`, Data3.`Adj Code`, Data3.`Comment` "/>
  </connection>
  <connection id="2" xr16:uid="{00000000-0015-0000-FFFF-FFFF01000000}" name="Connection1" type="1" refreshedVersion="3" savePassword="1" background="1" saveData="1">
    <dbPr connection="DSN=Excel Files;DBQ=H:\Rewrite\Data.xlsm;DefaultDir=H:\Rewrite;DriverId=790;FIL=excel 16.0;MaxBufferSize=2048;PageTimeout=5;" command="SELECT Data2.CoDist, Data2.Dname, Data2.Dtype, Data2.`Sped Unit`, Data2.`Sped%`, Data2.REAAssoc, Data2.MedicaidMatch, Data2.BaseLineFunding, Data2.TAXVAL, Data2.GFLevy, Data2.TuitionLevy, Data2.TranspLevy, Data2.GFEFB, Data2.GFExpend, Data2.`1300Tuition`, Data2.`2999County`, Data2.ADMPk, Data2.ADMKg, Data2.ADM16, Data2.ADM78, Data2.ADM912, Data2.ADMAltHS, Data2.isolatedADM18, Data2.isolatedADM912, Data2.NotUsed, Data2.SummerSchool, Data2.ELL12, Data2.ELL34, Data2.HomeSchool, Data2.MigrantSummer, Data2.ESYSpEd, Data2.Crossborder, Data2.`S/N Flag`, Data2.`Reorg Flag`, Data2.SmRuralMiles, Data2.LgRuralMiles, Data2.RuralRides, Data2.SmIncityMiles, Data2.LgIncityMiles, Data2.IncityRides, Data2.FamilyToSchool, Data2.FamilyToBus, Data2.TranspCap90, Data2.`0708 wsu`, Data2.`ADM Adjustment`, Data2.VendorID, Data2.REAAllocation, Data2.SpedUnitName, Data2.REAName, Data2.EducationalEntityID_x000d__x000a_FROM `H:\Rewrite\Data.xlsm`.Data2 Data2"/>
  </connection>
</connections>
</file>

<file path=xl/sharedStrings.xml><?xml version="1.0" encoding="utf-8"?>
<sst xmlns="http://schemas.openxmlformats.org/spreadsheetml/2006/main" count="2136" uniqueCount="1186">
  <si>
    <t>Dtype</t>
  </si>
  <si>
    <t>1300 Tuition</t>
  </si>
  <si>
    <t>TAXVAL</t>
  </si>
  <si>
    <t>1300Tuition</t>
  </si>
  <si>
    <t>2999County</t>
  </si>
  <si>
    <t>ADMPk</t>
  </si>
  <si>
    <t>ADMKg</t>
  </si>
  <si>
    <t>ADM16</t>
  </si>
  <si>
    <t>ADM78</t>
  </si>
  <si>
    <t>ADM912</t>
  </si>
  <si>
    <t>ADMAltHS</t>
  </si>
  <si>
    <t>SummerSchool</t>
  </si>
  <si>
    <t>HomeSchool</t>
  </si>
  <si>
    <t>MigrantSummer</t>
  </si>
  <si>
    <t>ESYSpEd</t>
  </si>
  <si>
    <t>Crossborder</t>
  </si>
  <si>
    <t>GFEFB</t>
  </si>
  <si>
    <t>GFExpend</t>
  </si>
  <si>
    <t>Reorg Flag</t>
  </si>
  <si>
    <t>Rate</t>
  </si>
  <si>
    <t>Total</t>
  </si>
  <si>
    <t>Small Bus Miles</t>
  </si>
  <si>
    <t>Large Bus Miles</t>
  </si>
  <si>
    <t>0000008483</t>
  </si>
  <si>
    <t>0000008647</t>
  </si>
  <si>
    <t>Barnes County North 7</t>
  </si>
  <si>
    <t>0000008516</t>
  </si>
  <si>
    <t>0000008540</t>
  </si>
  <si>
    <t>0000008511</t>
  </si>
  <si>
    <t>0000008519</t>
  </si>
  <si>
    <t>0000008577</t>
  </si>
  <si>
    <t>0000008652</t>
  </si>
  <si>
    <t>0000008461</t>
  </si>
  <si>
    <t>0000008414</t>
  </si>
  <si>
    <t>0000008418</t>
  </si>
  <si>
    <t>0000008655</t>
  </si>
  <si>
    <t>0000008569</t>
  </si>
  <si>
    <t>0000072298</t>
  </si>
  <si>
    <t>0000008599</t>
  </si>
  <si>
    <t>0000008419</t>
  </si>
  <si>
    <t>0000008588</t>
  </si>
  <si>
    <t>0000008422</t>
  </si>
  <si>
    <t>0000008416</t>
  </si>
  <si>
    <t>0000008555</t>
  </si>
  <si>
    <t>0000008660</t>
  </si>
  <si>
    <t>0000008536</t>
  </si>
  <si>
    <t>0000008630</t>
  </si>
  <si>
    <t>0000008405</t>
  </si>
  <si>
    <t>0000008523</t>
  </si>
  <si>
    <t>0000008453</t>
  </si>
  <si>
    <t>0000008501</t>
  </si>
  <si>
    <t>0000002758</t>
  </si>
  <si>
    <t>0000008654</t>
  </si>
  <si>
    <t>0000008527</t>
  </si>
  <si>
    <t>0000008426</t>
  </si>
  <si>
    <t>0000008573</t>
  </si>
  <si>
    <t>0000008549</t>
  </si>
  <si>
    <t>0000008505</t>
  </si>
  <si>
    <t>0000009031</t>
  </si>
  <si>
    <t>0000008575</t>
  </si>
  <si>
    <t>0000008434</t>
  </si>
  <si>
    <t>0000008500</t>
  </si>
  <si>
    <t>0000008476</t>
  </si>
  <si>
    <t>0000008642</t>
  </si>
  <si>
    <t>0000072243</t>
  </si>
  <si>
    <t>0000008480</t>
  </si>
  <si>
    <t>0000008631</t>
  </si>
  <si>
    <t>0000008514</t>
  </si>
  <si>
    <t>0000008423</t>
  </si>
  <si>
    <t>0000008409</t>
  </si>
  <si>
    <t>0000008518</t>
  </si>
  <si>
    <t>0000001113</t>
  </si>
  <si>
    <t>0000008509</t>
  </si>
  <si>
    <t>0000008638</t>
  </si>
  <si>
    <t>0000008525</t>
  </si>
  <si>
    <t>0000008449</t>
  </si>
  <si>
    <t>0000008538</t>
  </si>
  <si>
    <t>0000008574</t>
  </si>
  <si>
    <t>0000008595</t>
  </si>
  <si>
    <t>0000008445</t>
  </si>
  <si>
    <t>0000008537</t>
  </si>
  <si>
    <t>0000008474</t>
  </si>
  <si>
    <t>0000008547</t>
  </si>
  <si>
    <t>0000008564</t>
  </si>
  <si>
    <t>0000008441</t>
  </si>
  <si>
    <t>0000008502</t>
  </si>
  <si>
    <t>0000008504</t>
  </si>
  <si>
    <t>0000008550</t>
  </si>
  <si>
    <t>0000008463</t>
  </si>
  <si>
    <t>0000008648</t>
  </si>
  <si>
    <t>0000008404</t>
  </si>
  <si>
    <t>0000008436</t>
  </si>
  <si>
    <t>0000008636</t>
  </si>
  <si>
    <t>0000008665</t>
  </si>
  <si>
    <t>0000008406</t>
  </si>
  <si>
    <t>0000008661</t>
  </si>
  <si>
    <t>0000008534</t>
  </si>
  <si>
    <t>0000008403</t>
  </si>
  <si>
    <t>0000008664</t>
  </si>
  <si>
    <t>0000008440</t>
  </si>
  <si>
    <t>0000008487</t>
  </si>
  <si>
    <t>0000008522</t>
  </si>
  <si>
    <t>0000008545</t>
  </si>
  <si>
    <t>0000008653</t>
  </si>
  <si>
    <t>0000008643</t>
  </si>
  <si>
    <t>0000008529</t>
  </si>
  <si>
    <t>0000008465</t>
  </si>
  <si>
    <t>0000008640</t>
  </si>
  <si>
    <t>0000008656</t>
  </si>
  <si>
    <t>0000008481</t>
  </si>
  <si>
    <t>0000008413</t>
  </si>
  <si>
    <t>0000008521</t>
  </si>
  <si>
    <t>0000008517</t>
  </si>
  <si>
    <t>0000008482</t>
  </si>
  <si>
    <t>0000008633</t>
  </si>
  <si>
    <t>0000008458</t>
  </si>
  <si>
    <t>0000008466</t>
  </si>
  <si>
    <t>0000008568</t>
  </si>
  <si>
    <t>0000008626</t>
  </si>
  <si>
    <t>0000008581</t>
  </si>
  <si>
    <t>0000005999</t>
  </si>
  <si>
    <t>0000008503</t>
  </si>
  <si>
    <t>0000008688</t>
  </si>
  <si>
    <t>0000008438</t>
  </si>
  <si>
    <t>0000048353</t>
  </si>
  <si>
    <t>0000008596</t>
  </si>
  <si>
    <t>0000008430</t>
  </si>
  <si>
    <t>0000008628</t>
  </si>
  <si>
    <t>0000008460</t>
  </si>
  <si>
    <t>0000008515</t>
  </si>
  <si>
    <t>Enderlin Area 24</t>
  </si>
  <si>
    <t>0000008544</t>
  </si>
  <si>
    <t>0000008467</t>
  </si>
  <si>
    <t>0000008477</t>
  </si>
  <si>
    <t>0000008452</t>
  </si>
  <si>
    <t>0000008513</t>
  </si>
  <si>
    <t>0000008650</t>
  </si>
  <si>
    <t>0000008663</t>
  </si>
  <si>
    <t>0000008591</t>
  </si>
  <si>
    <t>0000008439</t>
  </si>
  <si>
    <t>0000008624</t>
  </si>
  <si>
    <t>0000008548</t>
  </si>
  <si>
    <t>0000008410</t>
  </si>
  <si>
    <t>0000008594</t>
  </si>
  <si>
    <t>0000008539</t>
  </si>
  <si>
    <t>0000008572</t>
  </si>
  <si>
    <t>0000008597</t>
  </si>
  <si>
    <t>0000008619</t>
  </si>
  <si>
    <t>0000008601</t>
  </si>
  <si>
    <t>0000008528</t>
  </si>
  <si>
    <t>0000000953</t>
  </si>
  <si>
    <t>0000008620</t>
  </si>
  <si>
    <t>0000008411</t>
  </si>
  <si>
    <t>0000008590</t>
  </si>
  <si>
    <t>0000008457</t>
  </si>
  <si>
    <t>0000008497</t>
  </si>
  <si>
    <t>0000008535</t>
  </si>
  <si>
    <t>0000008546</t>
  </si>
  <si>
    <t>0000008499</t>
  </si>
  <si>
    <t>0000008428</t>
  </si>
  <si>
    <t>0000008479</t>
  </si>
  <si>
    <t>0000008484</t>
  </si>
  <si>
    <t>0000008531</t>
  </si>
  <si>
    <t>0000008459</t>
  </si>
  <si>
    <t>0000008543</t>
  </si>
  <si>
    <t>0000008541</t>
  </si>
  <si>
    <t>0000008561</t>
  </si>
  <si>
    <t>0000002583</t>
  </si>
  <si>
    <t>0000008598</t>
  </si>
  <si>
    <t>0000008498</t>
  </si>
  <si>
    <t>0000008632</t>
  </si>
  <si>
    <t>0000008621</t>
  </si>
  <si>
    <t>0000008512</t>
  </si>
  <si>
    <t>0000008455</t>
  </si>
  <si>
    <t>0000008478</t>
  </si>
  <si>
    <t>0000008562</t>
  </si>
  <si>
    <t>0000008639</t>
  </si>
  <si>
    <t>0000008473</t>
  </si>
  <si>
    <t>0000005293</t>
  </si>
  <si>
    <t>0000008916</t>
  </si>
  <si>
    <t>0000001597</t>
  </si>
  <si>
    <t>0000008910</t>
  </si>
  <si>
    <t>0000008908</t>
  </si>
  <si>
    <t>0000008928</t>
  </si>
  <si>
    <t>0000008915</t>
  </si>
  <si>
    <t>0000003657</t>
  </si>
  <si>
    <t>0000005540</t>
  </si>
  <si>
    <t>0000008917</t>
  </si>
  <si>
    <t>0000008933</t>
  </si>
  <si>
    <t>0000008931</t>
  </si>
  <si>
    <t>0000008843</t>
  </si>
  <si>
    <t>0000008923</t>
  </si>
  <si>
    <t>0000008924</t>
  </si>
  <si>
    <t>0000008919</t>
  </si>
  <si>
    <t>0000008932</t>
  </si>
  <si>
    <t>0000008936</t>
  </si>
  <si>
    <t>0000008934</t>
  </si>
  <si>
    <t>0000008506</t>
  </si>
  <si>
    <t>0000008912</t>
  </si>
  <si>
    <t>0000008918</t>
  </si>
  <si>
    <t>0000002071</t>
  </si>
  <si>
    <t>0000008930</t>
  </si>
  <si>
    <t>0000008939</t>
  </si>
  <si>
    <t>Reimbursement Cap --- 90% of transportation expenditures</t>
  </si>
  <si>
    <t>North Dakota Department of Public Instruction</t>
  </si>
  <si>
    <t>District Name</t>
  </si>
  <si>
    <t>School Year</t>
  </si>
  <si>
    <t>Pk Special Education</t>
  </si>
  <si>
    <t>Kindergarten</t>
  </si>
  <si>
    <t>Grade 1-6</t>
  </si>
  <si>
    <t>Grade 7-8</t>
  </si>
  <si>
    <t>Grade 9-12</t>
  </si>
  <si>
    <t>Per Student Payment Rate</t>
  </si>
  <si>
    <t>Student Membership</t>
  </si>
  <si>
    <t>County District Number</t>
  </si>
  <si>
    <t>TRANSPORTATION WORKSHEET</t>
  </si>
  <si>
    <t>BASELINE FUNDING - MINIMUM AND MAXIMUM PAYMENTS</t>
  </si>
  <si>
    <t>Summer Programs</t>
  </si>
  <si>
    <t>Other Program Membership</t>
  </si>
  <si>
    <t>A</t>
  </si>
  <si>
    <t>Alternative High School</t>
  </si>
  <si>
    <t>Total Formula Payment</t>
  </si>
  <si>
    <t>Total Average Daily Membership (ADM)</t>
  </si>
  <si>
    <t>B</t>
  </si>
  <si>
    <t>D</t>
  </si>
  <si>
    <t>E</t>
  </si>
  <si>
    <t>Adjustments</t>
  </si>
  <si>
    <t>Adj Code</t>
  </si>
  <si>
    <t>Year to Date</t>
  </si>
  <si>
    <t>Sped Unit</t>
  </si>
  <si>
    <t>Payment Month</t>
  </si>
  <si>
    <t>Prior Payments</t>
  </si>
  <si>
    <t>SmRuralMiles</t>
  </si>
  <si>
    <t>LgRuralMiles</t>
  </si>
  <si>
    <t>RuralRides</t>
  </si>
  <si>
    <t>IncityRides</t>
  </si>
  <si>
    <t>FamilyToBus</t>
  </si>
  <si>
    <t>FamilyToSchool</t>
  </si>
  <si>
    <t>LgIncityMiles</t>
  </si>
  <si>
    <t>SmIncityMiles</t>
  </si>
  <si>
    <t>TranspCap90</t>
  </si>
  <si>
    <t>Description</t>
  </si>
  <si>
    <t>Date</t>
  </si>
  <si>
    <t>Acct Code</t>
  </si>
  <si>
    <t>No.</t>
  </si>
  <si>
    <t>Data Source</t>
  </si>
  <si>
    <t>Finance</t>
  </si>
  <si>
    <t>STARS</t>
  </si>
  <si>
    <t>Factor Tables</t>
  </si>
  <si>
    <t>State Aid Payment System</t>
  </si>
  <si>
    <t>PT-Business-Unit</t>
  </si>
  <si>
    <t>PT-Origin</t>
  </si>
  <si>
    <t>PT-Payment-Date</t>
  </si>
  <si>
    <t>PT-Accounting-Date</t>
  </si>
  <si>
    <t>PT-Invoice-ID</t>
  </si>
  <si>
    <t>07 PT-Inv-Prefix</t>
  </si>
  <si>
    <t>07 PT-Inv-Seq-No</t>
  </si>
  <si>
    <t>PT-Description</t>
  </si>
  <si>
    <t>PT-Fund-Code</t>
  </si>
  <si>
    <t>PT-Account</t>
  </si>
  <si>
    <t>PT-Dept-ID</t>
  </si>
  <si>
    <t>PT-Operat-Unit</t>
  </si>
  <si>
    <t>PT-Class</t>
  </si>
  <si>
    <t>PT-Project</t>
  </si>
  <si>
    <t>PT-Project-Act</t>
  </si>
  <si>
    <t>PT-Resource-Type</t>
  </si>
  <si>
    <t>PT-Resource-Cat</t>
  </si>
  <si>
    <t>PT-Speedchart-ID</t>
  </si>
  <si>
    <t>PT-Vendor-ID</t>
  </si>
  <si>
    <t>PT-Location-ID</t>
  </si>
  <si>
    <t>PT-Vendor-Name</t>
  </si>
  <si>
    <t>PT-Vendor-Addr1</t>
  </si>
  <si>
    <t>PT-Vendor-Addr2</t>
  </si>
  <si>
    <t>PT-Vendor-Addr3</t>
  </si>
  <si>
    <t>PT-Vendor-City</t>
  </si>
  <si>
    <t>PT-Vendor-State</t>
  </si>
  <si>
    <t>PT-Vendor-Zip</t>
  </si>
  <si>
    <t>PIT-Remit-EFT-DFI-Num</t>
  </si>
  <si>
    <t>PT-Remit-EFT-Acct-Num</t>
  </si>
  <si>
    <t>PT-Payment-Msg</t>
  </si>
  <si>
    <t>FILLER</t>
  </si>
  <si>
    <t>PT-Trans-Sign-Amt</t>
  </si>
  <si>
    <t>07 PT-Trans-Sign</t>
  </si>
  <si>
    <t>07 PT-Trans-Amt</t>
  </si>
  <si>
    <t>PI3</t>
  </si>
  <si>
    <t>20160</t>
  </si>
  <si>
    <t>VendorID</t>
  </si>
  <si>
    <t>Vendor ID</t>
  </si>
  <si>
    <t>State Aid</t>
  </si>
  <si>
    <t>Transp</t>
  </si>
  <si>
    <t>Length</t>
  </si>
  <si>
    <t>20164</t>
  </si>
  <si>
    <t>20162</t>
  </si>
  <si>
    <t>PI3-</t>
  </si>
  <si>
    <t>Grenora 99</t>
  </si>
  <si>
    <t>ADM</t>
  </si>
  <si>
    <t>Weighting Factor</t>
  </si>
  <si>
    <t>Weighted ADM</t>
  </si>
  <si>
    <t>2999 County</t>
  </si>
  <si>
    <t>K-12 Weighting Factors - High School</t>
  </si>
  <si>
    <t>Highest at next lowest</t>
  </si>
  <si>
    <t>Tier 1</t>
  </si>
  <si>
    <t>Tier 2</t>
  </si>
  <si>
    <t>185-200</t>
  </si>
  <si>
    <t>200-215</t>
  </si>
  <si>
    <t>215-230</t>
  </si>
  <si>
    <t>230-245</t>
  </si>
  <si>
    <t>245-260</t>
  </si>
  <si>
    <t>260-270</t>
  </si>
  <si>
    <t>270-275</t>
  </si>
  <si>
    <t>275-280</t>
  </si>
  <si>
    <t>280-285</t>
  </si>
  <si>
    <t>285-290</t>
  </si>
  <si>
    <t>290-295</t>
  </si>
  <si>
    <t>295-300</t>
  </si>
  <si>
    <t>300-305</t>
  </si>
  <si>
    <t>305-310</t>
  </si>
  <si>
    <t>310-320</t>
  </si>
  <si>
    <t>320-335</t>
  </si>
  <si>
    <t>335-350</t>
  </si>
  <si>
    <t>350-360</t>
  </si>
  <si>
    <t>360-370</t>
  </si>
  <si>
    <t>370-380</t>
  </si>
  <si>
    <t>380-390</t>
  </si>
  <si>
    <t>390-400</t>
  </si>
  <si>
    <t>400-600</t>
  </si>
  <si>
    <t>600-900</t>
  </si>
  <si>
    <t>Tier 3</t>
  </si>
  <si>
    <t>Over 900</t>
  </si>
  <si>
    <t>K-8 Weighting Factors - Elementary</t>
  </si>
  <si>
    <t>0-125</t>
  </si>
  <si>
    <t>125-200</t>
  </si>
  <si>
    <t>Over 200</t>
  </si>
  <si>
    <t>Atlernative Factors</t>
  </si>
  <si>
    <t>Codist</t>
  </si>
  <si>
    <t>Merged Flag</t>
  </si>
  <si>
    <t>Former District</t>
  </si>
  <si>
    <t>Blended</t>
  </si>
  <si>
    <t>Merged Yr</t>
  </si>
  <si>
    <t>C</t>
  </si>
  <si>
    <t>CoDist</t>
  </si>
  <si>
    <t>Dname</t>
  </si>
  <si>
    <t>Hettinger 13</t>
  </si>
  <si>
    <t>Valley City 2</t>
  </si>
  <si>
    <t>Litchville-Marion 46</t>
  </si>
  <si>
    <t>Minnewaukan 5</t>
  </si>
  <si>
    <t>Leeds 6</t>
  </si>
  <si>
    <t>Maddock 9</t>
  </si>
  <si>
    <t>Oberon 16</t>
  </si>
  <si>
    <t>Warwick 29</t>
  </si>
  <si>
    <t>Ft Totten 30</t>
  </si>
  <si>
    <t>Billings Co 1</t>
  </si>
  <si>
    <t>Bottineau 1</t>
  </si>
  <si>
    <t>Westhope 17</t>
  </si>
  <si>
    <t>Newburg-United 54</t>
  </si>
  <si>
    <t>Scranton 33</t>
  </si>
  <si>
    <t>Bowbells 14</t>
  </si>
  <si>
    <t>Powers Lake 27</t>
  </si>
  <si>
    <t>Burke Central 36</t>
  </si>
  <si>
    <t>Bismarck 1</t>
  </si>
  <si>
    <t>Naughton 25</t>
  </si>
  <si>
    <t>Wing 28</t>
  </si>
  <si>
    <t>Menoken 33</t>
  </si>
  <si>
    <t>Sterling 35</t>
  </si>
  <si>
    <t>Apple Creek 39</t>
  </si>
  <si>
    <t>Manning 45</t>
  </si>
  <si>
    <t>Fargo 1</t>
  </si>
  <si>
    <t>Kindred 2</t>
  </si>
  <si>
    <t>Maple Valley 4</t>
  </si>
  <si>
    <t>West Fargo 6</t>
  </si>
  <si>
    <t>Mapleton 7</t>
  </si>
  <si>
    <t>Central Cass 17</t>
  </si>
  <si>
    <t>Munich 19</t>
  </si>
  <si>
    <t>Langdon Area 23</t>
  </si>
  <si>
    <t>Ellendale 40</t>
  </si>
  <si>
    <t>Oakes 41</t>
  </si>
  <si>
    <t>Divide County 1</t>
  </si>
  <si>
    <t>Killdeer 16</t>
  </si>
  <si>
    <t>Halliday 19</t>
  </si>
  <si>
    <t>Twin Buttes 37</t>
  </si>
  <si>
    <t>New Rockford-Sheyenne 2</t>
  </si>
  <si>
    <t>Hazelton-Moffit-Braddock 6</t>
  </si>
  <si>
    <t>Strasburg 15</t>
  </si>
  <si>
    <t>Linton 36</t>
  </si>
  <si>
    <t>Carrington 49</t>
  </si>
  <si>
    <t>Beach 3</t>
  </si>
  <si>
    <t>Lone Tree 6</t>
  </si>
  <si>
    <t>Grand Forks 1</t>
  </si>
  <si>
    <t>Larimore 44</t>
  </si>
  <si>
    <t>Thompson 61</t>
  </si>
  <si>
    <t>Manvel 125</t>
  </si>
  <si>
    <t>Emerado 127</t>
  </si>
  <si>
    <t>Midway 128</t>
  </si>
  <si>
    <t>Northwood 129</t>
  </si>
  <si>
    <t>Roosevelt 18</t>
  </si>
  <si>
    <t>Elgin-New Leipzig 49</t>
  </si>
  <si>
    <t>Midkota 7</t>
  </si>
  <si>
    <t>Griggs County Central 18</t>
  </si>
  <si>
    <t>Mott-Regent 1</t>
  </si>
  <si>
    <t>New England 9</t>
  </si>
  <si>
    <t>Edgeley 3</t>
  </si>
  <si>
    <t>Kulm 7</t>
  </si>
  <si>
    <t>LaMoure 8</t>
  </si>
  <si>
    <t>Napoleon 2</t>
  </si>
  <si>
    <t>Velva 1</t>
  </si>
  <si>
    <t>Anamoose 14</t>
  </si>
  <si>
    <t>Drake 57</t>
  </si>
  <si>
    <t>TGU 60</t>
  </si>
  <si>
    <t>Zeeland 4</t>
  </si>
  <si>
    <t>Ashley 9</t>
  </si>
  <si>
    <t>Wishek 19</t>
  </si>
  <si>
    <t>McKenzie Co 1</t>
  </si>
  <si>
    <t>Alexander 2</t>
  </si>
  <si>
    <t>Yellowstone 14</t>
  </si>
  <si>
    <t>Horse Creek 32</t>
  </si>
  <si>
    <t>Mandaree 36</t>
  </si>
  <si>
    <t>Washburn 4</t>
  </si>
  <si>
    <t>Underwood 8</t>
  </si>
  <si>
    <t>Max 50</t>
  </si>
  <si>
    <t>Garrison 51</t>
  </si>
  <si>
    <t>Turtle Lake-Mercer 72</t>
  </si>
  <si>
    <t>White Shield 85</t>
  </si>
  <si>
    <t>Hazen 3</t>
  </si>
  <si>
    <t>Beulah 27</t>
  </si>
  <si>
    <t>Mandan 1</t>
  </si>
  <si>
    <t>Little Heart 4</t>
  </si>
  <si>
    <t>Hebron 13</t>
  </si>
  <si>
    <t>Sweet Briar 17</t>
  </si>
  <si>
    <t>Flasher 39</t>
  </si>
  <si>
    <t>Glen Ullin 48</t>
  </si>
  <si>
    <t>New Town 1</t>
  </si>
  <si>
    <t>Stanley 2</t>
  </si>
  <si>
    <t>Parshall 3</t>
  </si>
  <si>
    <t>Dakota Prairie 1</t>
  </si>
  <si>
    <t>Lakota 66</t>
  </si>
  <si>
    <t>Center-Stanton 1</t>
  </si>
  <si>
    <t>Cavalier 6</t>
  </si>
  <si>
    <t>Drayton 19</t>
  </si>
  <si>
    <t>North Border 100</t>
  </si>
  <si>
    <t>Rugby 5</t>
  </si>
  <si>
    <t>Devils Lake 1</t>
  </si>
  <si>
    <t>Starkweather 44</t>
  </si>
  <si>
    <t>Ft Ransom 6</t>
  </si>
  <si>
    <t>Lisbon 19</t>
  </si>
  <si>
    <t>Mohall-Lansford-Sherwood 1</t>
  </si>
  <si>
    <t>Glenburn 26</t>
  </si>
  <si>
    <t>Hankinson 8</t>
  </si>
  <si>
    <t>Fairmount 18</t>
  </si>
  <si>
    <t>Lidgerwood 28</t>
  </si>
  <si>
    <t>Wahpeton 37</t>
  </si>
  <si>
    <t>Wyndmere 42</t>
  </si>
  <si>
    <t>Richland 44</t>
  </si>
  <si>
    <t>Dunseith 1</t>
  </si>
  <si>
    <t>St John 3</t>
  </si>
  <si>
    <t>Mt Pleasant 4</t>
  </si>
  <si>
    <t>Belcourt 7</t>
  </si>
  <si>
    <t>Rolette 29</t>
  </si>
  <si>
    <t>Milnor 2</t>
  </si>
  <si>
    <t>Sargent Central 6</t>
  </si>
  <si>
    <t>Solen 3</t>
  </si>
  <si>
    <t>Ft Yates 4</t>
  </si>
  <si>
    <t>Selfridge 8</t>
  </si>
  <si>
    <t>Marmarth 12</t>
  </si>
  <si>
    <t>Dickinson 1</t>
  </si>
  <si>
    <t>South Heart 9</t>
  </si>
  <si>
    <t>Belfield 13</t>
  </si>
  <si>
    <t>Richardton-Taylor 34</t>
  </si>
  <si>
    <t>Finley-Sharon 19</t>
  </si>
  <si>
    <t>Jamestown 1</t>
  </si>
  <si>
    <t>Medina 3</t>
  </si>
  <si>
    <t>Montpelier 14</t>
  </si>
  <si>
    <t>Kensal 19</t>
  </si>
  <si>
    <t>Central Valley 3</t>
  </si>
  <si>
    <t>Hillsboro 9</t>
  </si>
  <si>
    <t>May-Port CG 14</t>
  </si>
  <si>
    <t>Fordville-Lankin 5</t>
  </si>
  <si>
    <t>Minto 20</t>
  </si>
  <si>
    <t>Minot 1</t>
  </si>
  <si>
    <t>Nedrose 4</t>
  </si>
  <si>
    <t>United 7</t>
  </si>
  <si>
    <t>Sawyer 16</t>
  </si>
  <si>
    <t>Kenmare 28</t>
  </si>
  <si>
    <t>Surrey 41</t>
  </si>
  <si>
    <t>Lewis and Clark 161</t>
  </si>
  <si>
    <t>Fessenden-Bowdon 25</t>
  </si>
  <si>
    <t>Harvey 38</t>
  </si>
  <si>
    <t>Nesson 2</t>
  </si>
  <si>
    <t>Eight Mile 6</t>
  </si>
  <si>
    <t>Tioga 15</t>
  </si>
  <si>
    <t>0000008450</t>
  </si>
  <si>
    <t>Special Education Contracts - Agency</t>
  </si>
  <si>
    <t>Special Education Contracts - School Placed</t>
  </si>
  <si>
    <t>0000089887</t>
  </si>
  <si>
    <t>Minot AFB 160</t>
  </si>
  <si>
    <t>0000008472</t>
  </si>
  <si>
    <t>Grand Forks AFB 140</t>
  </si>
  <si>
    <t>0000008542</t>
  </si>
  <si>
    <t>01-013</t>
  </si>
  <si>
    <t>02-002</t>
  </si>
  <si>
    <t>02-007</t>
  </si>
  <si>
    <t>02-046</t>
  </si>
  <si>
    <t>03-005</t>
  </si>
  <si>
    <t>03-006</t>
  </si>
  <si>
    <t>03-009</t>
  </si>
  <si>
    <t>03-016</t>
  </si>
  <si>
    <t>03-029</t>
  </si>
  <si>
    <t>03-030</t>
  </si>
  <si>
    <t>04-001</t>
  </si>
  <si>
    <t>05-001</t>
  </si>
  <si>
    <t>05-017</t>
  </si>
  <si>
    <t>05-054</t>
  </si>
  <si>
    <t>06-001</t>
  </si>
  <si>
    <t>06-033</t>
  </si>
  <si>
    <t>07-014</t>
  </si>
  <si>
    <t>07-027</t>
  </si>
  <si>
    <t>07-036</t>
  </si>
  <si>
    <t>08-001</t>
  </si>
  <si>
    <t>08-025</t>
  </si>
  <si>
    <t>08-028</t>
  </si>
  <si>
    <t>08-033</t>
  </si>
  <si>
    <t>08-035</t>
  </si>
  <si>
    <t>08-039</t>
  </si>
  <si>
    <t>08-045</t>
  </si>
  <si>
    <t>09-001</t>
  </si>
  <si>
    <t>09-002</t>
  </si>
  <si>
    <t>09-004</t>
  </si>
  <si>
    <t>09-006</t>
  </si>
  <si>
    <t>09-007</t>
  </si>
  <si>
    <t>09-017</t>
  </si>
  <si>
    <t>09-097</t>
  </si>
  <si>
    <t>10-019</t>
  </si>
  <si>
    <t>10-023</t>
  </si>
  <si>
    <t>11-040</t>
  </si>
  <si>
    <t>11-041</t>
  </si>
  <si>
    <t>12-001</t>
  </si>
  <si>
    <t>13-016</t>
  </si>
  <si>
    <t>13-037</t>
  </si>
  <si>
    <t>14-002</t>
  </si>
  <si>
    <t>15-006</t>
  </si>
  <si>
    <t>15-015</t>
  </si>
  <si>
    <t>15-036</t>
  </si>
  <si>
    <t>16-049</t>
  </si>
  <si>
    <t>17-003</t>
  </si>
  <si>
    <t>17-006</t>
  </si>
  <si>
    <t>18-001</t>
  </si>
  <si>
    <t>18-044</t>
  </si>
  <si>
    <t>18-061</t>
  </si>
  <si>
    <t>18-125</t>
  </si>
  <si>
    <t>18-127</t>
  </si>
  <si>
    <t>18-128</t>
  </si>
  <si>
    <t>18-129</t>
  </si>
  <si>
    <t>18-140</t>
  </si>
  <si>
    <t>19-018</t>
  </si>
  <si>
    <t>19-049</t>
  </si>
  <si>
    <t>20-007</t>
  </si>
  <si>
    <t>20-018</t>
  </si>
  <si>
    <t>21-001</t>
  </si>
  <si>
    <t>21-009</t>
  </si>
  <si>
    <t>23-003</t>
  </si>
  <si>
    <t>23-007</t>
  </si>
  <si>
    <t>23-008</t>
  </si>
  <si>
    <t>24-002</t>
  </si>
  <si>
    <t>24-056</t>
  </si>
  <si>
    <t>25-001</t>
  </si>
  <si>
    <t>25-014</t>
  </si>
  <si>
    <t>25-057</t>
  </si>
  <si>
    <t>25-060</t>
  </si>
  <si>
    <t>26-004</t>
  </si>
  <si>
    <t>26-009</t>
  </si>
  <si>
    <t>26-019</t>
  </si>
  <si>
    <t>27-001</t>
  </si>
  <si>
    <t>27-002</t>
  </si>
  <si>
    <t>27-014</t>
  </si>
  <si>
    <t>27-018</t>
  </si>
  <si>
    <t>27-032</t>
  </si>
  <si>
    <t>27-036</t>
  </si>
  <si>
    <t>28-001</t>
  </si>
  <si>
    <t>28-004</t>
  </si>
  <si>
    <t>28-008</t>
  </si>
  <si>
    <t>28-050</t>
  </si>
  <si>
    <t>28-051</t>
  </si>
  <si>
    <t>28-072</t>
  </si>
  <si>
    <t>28-085</t>
  </si>
  <si>
    <t>29-003</t>
  </si>
  <si>
    <t>29-027</t>
  </si>
  <si>
    <t>30-001</t>
  </si>
  <si>
    <t>30-004</t>
  </si>
  <si>
    <t>30-013</t>
  </si>
  <si>
    <t>30-017</t>
  </si>
  <si>
    <t>30-039</t>
  </si>
  <si>
    <t>30-048</t>
  </si>
  <si>
    <t>31-001</t>
  </si>
  <si>
    <t>31-002</t>
  </si>
  <si>
    <t>31-003</t>
  </si>
  <si>
    <t>32-001</t>
  </si>
  <si>
    <t>32-066</t>
  </si>
  <si>
    <t>33-001</t>
  </si>
  <si>
    <t>34-006</t>
  </si>
  <si>
    <t>34-019</t>
  </si>
  <si>
    <t>34-100</t>
  </si>
  <si>
    <t>35-005</t>
  </si>
  <si>
    <t>36-001</t>
  </si>
  <si>
    <t>36-002</t>
  </si>
  <si>
    <t>36-044</t>
  </si>
  <si>
    <t>37-006</t>
  </si>
  <si>
    <t>37-019</t>
  </si>
  <si>
    <t>37-024</t>
  </si>
  <si>
    <t>38-001</t>
  </si>
  <si>
    <t>38-026</t>
  </si>
  <si>
    <t>39-008</t>
  </si>
  <si>
    <t>39-018</t>
  </si>
  <si>
    <t>39-028</t>
  </si>
  <si>
    <t>39-037</t>
  </si>
  <si>
    <t>39-042</t>
  </si>
  <si>
    <t>39-044</t>
  </si>
  <si>
    <t>40-001</t>
  </si>
  <si>
    <t>40-003</t>
  </si>
  <si>
    <t>40-004</t>
  </si>
  <si>
    <t>40-007</t>
  </si>
  <si>
    <t>40-029</t>
  </si>
  <si>
    <t>41-002</t>
  </si>
  <si>
    <t>41-003</t>
  </si>
  <si>
    <t>41-006</t>
  </si>
  <si>
    <t>43-003</t>
  </si>
  <si>
    <t>43-004</t>
  </si>
  <si>
    <t>43-008</t>
  </si>
  <si>
    <t>44-012</t>
  </si>
  <si>
    <t>45-001</t>
  </si>
  <si>
    <t>45-009</t>
  </si>
  <si>
    <t>45-013</t>
  </si>
  <si>
    <t>45-034</t>
  </si>
  <si>
    <t>46-019</t>
  </si>
  <si>
    <t>47-001</t>
  </si>
  <si>
    <t>47-003</t>
  </si>
  <si>
    <t>47-010</t>
  </si>
  <si>
    <t>47-014</t>
  </si>
  <si>
    <t>47-019</t>
  </si>
  <si>
    <t>49-003</t>
  </si>
  <si>
    <t>49-007</t>
  </si>
  <si>
    <t>49-009</t>
  </si>
  <si>
    <t>49-014</t>
  </si>
  <si>
    <t>50-005</t>
  </si>
  <si>
    <t>50-020</t>
  </si>
  <si>
    <t>51-001</t>
  </si>
  <si>
    <t>51-004</t>
  </si>
  <si>
    <t>51-007</t>
  </si>
  <si>
    <t>51-016</t>
  </si>
  <si>
    <t>51-028</t>
  </si>
  <si>
    <t>51-041</t>
  </si>
  <si>
    <t>51-070</t>
  </si>
  <si>
    <t>51-160</t>
  </si>
  <si>
    <t>51-161</t>
  </si>
  <si>
    <t>52-025</t>
  </si>
  <si>
    <t>52-038</t>
  </si>
  <si>
    <t>53-002</t>
  </si>
  <si>
    <t>53-006</t>
  </si>
  <si>
    <t>53-015</t>
  </si>
  <si>
    <t>53-099</t>
  </si>
  <si>
    <t>02-727</t>
  </si>
  <si>
    <t>03-736</t>
  </si>
  <si>
    <t>05-726</t>
  </si>
  <si>
    <t>08-702</t>
  </si>
  <si>
    <t>08-711</t>
  </si>
  <si>
    <t>09-717</t>
  </si>
  <si>
    <t>09-730</t>
  </si>
  <si>
    <t>09-734</t>
  </si>
  <si>
    <t>14-712</t>
  </si>
  <si>
    <t>15-722</t>
  </si>
  <si>
    <t>18-733</t>
  </si>
  <si>
    <t>21-709</t>
  </si>
  <si>
    <t>24-718</t>
  </si>
  <si>
    <t>29-715</t>
  </si>
  <si>
    <t>30-725</t>
  </si>
  <si>
    <t>31-706</t>
  </si>
  <si>
    <t>34-707</t>
  </si>
  <si>
    <t>36-714</t>
  </si>
  <si>
    <t>39-728</t>
  </si>
  <si>
    <t>39-737</t>
  </si>
  <si>
    <t>40-719</t>
  </si>
  <si>
    <t>43-731</t>
  </si>
  <si>
    <t>45-701</t>
  </si>
  <si>
    <t>45-735</t>
  </si>
  <si>
    <t>49-723</t>
  </si>
  <si>
    <t>50-729</t>
  </si>
  <si>
    <t>51-708</t>
  </si>
  <si>
    <t>52-705</t>
  </si>
  <si>
    <t>53-720</t>
  </si>
  <si>
    <t>N</t>
  </si>
  <si>
    <t>Annual Total</t>
  </si>
  <si>
    <t xml:space="preserve">Transportation </t>
  </si>
  <si>
    <t>Adj Amount</t>
  </si>
  <si>
    <t>Comment</t>
  </si>
  <si>
    <t>Pmt Line</t>
  </si>
  <si>
    <t>Adjustment Detail</t>
  </si>
  <si>
    <t>Special Education Contracts - School</t>
  </si>
  <si>
    <t xml:space="preserve">Special Education - Boarding </t>
  </si>
  <si>
    <t>Red River Valley Education Cooperative</t>
  </si>
  <si>
    <t>0000041329</t>
  </si>
  <si>
    <t>0000090832</t>
  </si>
  <si>
    <t>Gackle-Streeter 56</t>
  </si>
  <si>
    <t>Earl 18</t>
  </si>
  <si>
    <t>Month</t>
  </si>
  <si>
    <t>SeqMonth</t>
  </si>
  <si>
    <t>SchoolYear</t>
  </si>
  <si>
    <t>MonthOfPayment</t>
  </si>
  <si>
    <t>SpedPercent</t>
  </si>
  <si>
    <t>BaselineFunding</t>
  </si>
  <si>
    <t>TaxVal</t>
  </si>
  <si>
    <t>GfLevy</t>
  </si>
  <si>
    <t>TuitionLevy</t>
  </si>
  <si>
    <t>TranspLevy</t>
  </si>
  <si>
    <t>GfEfb</t>
  </si>
  <si>
    <t>GfExpend</t>
  </si>
  <si>
    <t>Tuition1300</t>
  </si>
  <si>
    <t>County2999</t>
  </si>
  <si>
    <t>AdmPk</t>
  </si>
  <si>
    <t>AdmPkOvrd</t>
  </si>
  <si>
    <t>AdmPkOvrdInd</t>
  </si>
  <si>
    <t>AdmKg</t>
  </si>
  <si>
    <t>AdmKgOvrd</t>
  </si>
  <si>
    <t>AdmKgOvrdInd</t>
  </si>
  <si>
    <t>Adm16</t>
  </si>
  <si>
    <t>Adm16Ovrd</t>
  </si>
  <si>
    <t>Adm16OvrdInd</t>
  </si>
  <si>
    <t>Adm78</t>
  </si>
  <si>
    <t>Adm78Ovrd</t>
  </si>
  <si>
    <t>Adm78OvrdInd</t>
  </si>
  <si>
    <t>Adm912</t>
  </si>
  <si>
    <t>Adm912Ovrd</t>
  </si>
  <si>
    <t>Adm912OvrdInd</t>
  </si>
  <si>
    <t>AdmAltHs</t>
  </si>
  <si>
    <t>AdmAltHsOvrd</t>
  </si>
  <si>
    <t>AdmAltHsOvrdInd</t>
  </si>
  <si>
    <t>SummerSchoolOvrd</t>
  </si>
  <si>
    <t>SummerSchoolOvrdInd</t>
  </si>
  <si>
    <t>Ell12</t>
  </si>
  <si>
    <t>Ell12Ovrd</t>
  </si>
  <si>
    <t>Ell12OvrdInd</t>
  </si>
  <si>
    <t>Ell34</t>
  </si>
  <si>
    <t>Ell34Ovrd</t>
  </si>
  <si>
    <t>Ell34OvrdInd</t>
  </si>
  <si>
    <t>HomeSchoolOvrd</t>
  </si>
  <si>
    <t>HomeSchoolOvrdInd</t>
  </si>
  <si>
    <t>MigrantSummerOvrd</t>
  </si>
  <si>
    <t>MigrantSummerOvrdInd</t>
  </si>
  <si>
    <t>EsySpEd</t>
  </si>
  <si>
    <t>EsySpEdOvrd</t>
  </si>
  <si>
    <t>EsySpEdOvrdInd</t>
  </si>
  <si>
    <t>CrossborderOvrd</t>
  </si>
  <si>
    <t>CrossborderOvrdInd</t>
  </si>
  <si>
    <t>SnType</t>
  </si>
  <si>
    <t>SmRuralMilesOvrd</t>
  </si>
  <si>
    <t>SmRuralMilesOvrdInd</t>
  </si>
  <si>
    <t>LgRuralMilesOvrd</t>
  </si>
  <si>
    <t>LgRuralMilesOvrdInd</t>
  </si>
  <si>
    <t>RuralRidesOvrd</t>
  </si>
  <si>
    <t>RuralRidesOvrdInd</t>
  </si>
  <si>
    <t>SmIncityMilesOvrd</t>
  </si>
  <si>
    <t>SmIncityMilesOvrdInd</t>
  </si>
  <si>
    <t>LgIncityMilesOvrd</t>
  </si>
  <si>
    <t>LgIncityMilesOvrdInd</t>
  </si>
  <si>
    <t>IncityRidesOvrd</t>
  </si>
  <si>
    <t>IncityRidesOvrdInd</t>
  </si>
  <si>
    <t>FamilyToSchoolOvrd</t>
  </si>
  <si>
    <t>FamilyToSchoolOvrdInd</t>
  </si>
  <si>
    <t>FamilyToBusOvrd</t>
  </si>
  <si>
    <t>FamilyToBusOvrdInd</t>
  </si>
  <si>
    <t>TransCap90</t>
  </si>
  <si>
    <t>Ref</t>
  </si>
  <si>
    <t>Output</t>
  </si>
  <si>
    <t>State Child Placement</t>
  </si>
  <si>
    <t>TotalADMAdjustment</t>
  </si>
  <si>
    <t>Student membership includes regular school year average daily membership (ADM).  ADM for students attending school in</t>
  </si>
  <si>
    <t>Montana and Minnesota (NDCC 15.1-29.01), South Dakota students attending school in North Dakota (NDCC</t>
  </si>
  <si>
    <t>STATE AID TO SCHOOLS PAYMENT WORKSHEET</t>
  </si>
  <si>
    <t>15.1-29-02.1) under cross border attendance agreements, and students in private or out-of-state placements for purposes</t>
  </si>
  <si>
    <t>other than education (NDCC 15.1-29-14) are also included.</t>
  </si>
  <si>
    <t>Not Reimbursable</t>
  </si>
  <si>
    <t>Transportation Statistics</t>
  </si>
  <si>
    <t>Home-Education (district supervised)</t>
  </si>
  <si>
    <t>State Aid Formula Payment</t>
  </si>
  <si>
    <t>Total State Aid</t>
  </si>
  <si>
    <t>General Fund Ending Balance</t>
  </si>
  <si>
    <t>General Fund Expenditures</t>
  </si>
  <si>
    <t>STATE SCHOOL AID PAYMENT VOUCHER</t>
  </si>
  <si>
    <t xml:space="preserve">Total State Aid </t>
  </si>
  <si>
    <t>Years</t>
  </si>
  <si>
    <t>1-4Factor</t>
  </si>
  <si>
    <t>reg factor</t>
  </si>
  <si>
    <t>Special Education Contracts - Boarding</t>
  </si>
  <si>
    <t>BaselineWeightedStudentUnits</t>
  </si>
  <si>
    <t>AdmIsolatedElementary</t>
  </si>
  <si>
    <t>AdmIsolatedElementaryOvrd</t>
  </si>
  <si>
    <t>AdmIsolatedElementaryOvrdInd</t>
  </si>
  <si>
    <t>AdmIsolatedHighSchool</t>
  </si>
  <si>
    <t>AdmIsolatedHighSchoolOvrd</t>
  </si>
  <si>
    <t>AdmIsolatedHighSchoolOvrdInd</t>
  </si>
  <si>
    <t>Gifted and Talented</t>
  </si>
  <si>
    <t>Special Education - Gifted and Talented</t>
  </si>
  <si>
    <t>22-001</t>
  </si>
  <si>
    <t>48-010</t>
  </si>
  <si>
    <t>North Star 10</t>
  </si>
  <si>
    <t>0000104627</t>
  </si>
  <si>
    <t>0000101363</t>
  </si>
  <si>
    <t>5th yr factor</t>
  </si>
  <si>
    <t>6th yr factor</t>
  </si>
  <si>
    <t>base adm</t>
  </si>
  <si>
    <t>Sped%</t>
  </si>
  <si>
    <t>REAAssoc</t>
  </si>
  <si>
    <t>BaseLineFunding</t>
  </si>
  <si>
    <t>EducationalEntityID</t>
  </si>
  <si>
    <t>SpedAdjustment</t>
  </si>
  <si>
    <t>0000050783</t>
  </si>
  <si>
    <t>0000053852</t>
  </si>
  <si>
    <t>Redirect Amount</t>
  </si>
  <si>
    <t>North Central Ed Cooperative</t>
  </si>
  <si>
    <t>Northeast Ed Service Cooperative</t>
  </si>
  <si>
    <t>Roughrider Ed Services Program</t>
  </si>
  <si>
    <t>South East Ed Cooperative</t>
  </si>
  <si>
    <t>Foundation Aid Monthly Dataset</t>
  </si>
  <si>
    <t>REAAdjustment</t>
  </si>
  <si>
    <t>USFlood</t>
  </si>
  <si>
    <t>RECGrossReceipts</t>
  </si>
  <si>
    <t>Telecommunications</t>
  </si>
  <si>
    <t>ELL Level 1</t>
  </si>
  <si>
    <t>ELL Level 2</t>
  </si>
  <si>
    <t>At Risk</t>
  </si>
  <si>
    <t>State School Aid Summary</t>
  </si>
  <si>
    <t>EFB Offset</t>
  </si>
  <si>
    <t>Mill Levy Reduction Grant</t>
  </si>
  <si>
    <t>US Flood</t>
  </si>
  <si>
    <t>REC Gross Receipts</t>
  </si>
  <si>
    <t>Total Revenue</t>
  </si>
  <si>
    <t xml:space="preserve">Percent </t>
  </si>
  <si>
    <t>Telecom</t>
  </si>
  <si>
    <t>ELL1</t>
  </si>
  <si>
    <t>ELL2</t>
  </si>
  <si>
    <t>ELL3</t>
  </si>
  <si>
    <t>30-049</t>
  </si>
  <si>
    <t>F</t>
  </si>
  <si>
    <t>47-702</t>
  </si>
  <si>
    <t>47-701</t>
  </si>
  <si>
    <t>0000118029</t>
  </si>
  <si>
    <t>0000119008</t>
  </si>
  <si>
    <t>0000119011</t>
  </si>
  <si>
    <t>Setup</t>
  </si>
  <si>
    <t>ELL Level 3</t>
  </si>
  <si>
    <t>Entitlement</t>
  </si>
  <si>
    <t>Net Entitlement</t>
  </si>
  <si>
    <t>36-370</t>
  </si>
  <si>
    <t>45-371</t>
  </si>
  <si>
    <t>51-372</t>
  </si>
  <si>
    <t>08-373</t>
  </si>
  <si>
    <t>09-375</t>
  </si>
  <si>
    <t>18-376</t>
  </si>
  <si>
    <t>05-377</t>
  </si>
  <si>
    <t>53-350</t>
  </si>
  <si>
    <t>Alt High School</t>
  </si>
  <si>
    <t xml:space="preserve">Special Ed ADM </t>
  </si>
  <si>
    <t>PK Special Ed ADM</t>
  </si>
  <si>
    <t>REA</t>
  </si>
  <si>
    <t>Summer</t>
  </si>
  <si>
    <t>ESY Sped</t>
  </si>
  <si>
    <t>Formula ADM</t>
  </si>
  <si>
    <t>School Size Adjustment</t>
  </si>
  <si>
    <t>Formula Pmt</t>
  </si>
  <si>
    <t>Transition Minimum</t>
  </si>
  <si>
    <t>Transportation</t>
  </si>
  <si>
    <t>Baseline Funding Rate</t>
  </si>
  <si>
    <t>AtRisk</t>
  </si>
  <si>
    <t>AtRiskOvrd</t>
  </si>
  <si>
    <t>MobileHome</t>
  </si>
  <si>
    <t>AtRiskOvrdInd</t>
  </si>
  <si>
    <t>EllLevel1</t>
  </si>
  <si>
    <t>EllLevel1Ovrd</t>
  </si>
  <si>
    <t>EllLevel1OvrdInd</t>
  </si>
  <si>
    <t>EllLevel2</t>
  </si>
  <si>
    <t>EllLevel2Ovrd</t>
  </si>
  <si>
    <t>EllLevel2OvrdInd</t>
  </si>
  <si>
    <t>EllLevel3</t>
  </si>
  <si>
    <t>EllLevel3Ovrd</t>
  </si>
  <si>
    <t>EllLevel3OvrdInd</t>
  </si>
  <si>
    <t>Gross State Aid</t>
  </si>
  <si>
    <t>Amount</t>
  </si>
  <si>
    <t>Great North West Ed Cooperative</t>
  </si>
  <si>
    <t>0000002377</t>
  </si>
  <si>
    <t>State Aid Payments</t>
  </si>
  <si>
    <t>Worksheet</t>
  </si>
  <si>
    <t>TABS</t>
  </si>
  <si>
    <t>Payment</t>
  </si>
  <si>
    <t>This tab manages the payment calculations.</t>
  </si>
  <si>
    <t>This is the calculation engine for Per Student Payments and Transportation entitlements.  It also applies the Ending Fund Balance offsets to other non-formula payments.</t>
  </si>
  <si>
    <t>Factors</t>
  </si>
  <si>
    <t>Factor tables for the school size adjustment.</t>
  </si>
  <si>
    <t>Dataset</t>
  </si>
  <si>
    <t xml:space="preserve">This sheet describes the data sources </t>
  </si>
  <si>
    <t>Data2</t>
  </si>
  <si>
    <t>Export</t>
  </si>
  <si>
    <t>ImportFileSpec</t>
  </si>
  <si>
    <t>This sheet is used to create the Foundation Aid Monthly dataset import file.</t>
  </si>
  <si>
    <t xml:space="preserve">This sheet creates the file used to test this output to the Peoplesoft interface file.  </t>
  </si>
  <si>
    <t>Prior</t>
  </si>
  <si>
    <t>Lkp</t>
  </si>
  <si>
    <t>Used as a helper table for printing names.</t>
  </si>
  <si>
    <t>Monthly Procedure</t>
  </si>
  <si>
    <t>Update Data2</t>
  </si>
  <si>
    <t>Manage factors directly on the Worksheet.</t>
  </si>
  <si>
    <t>Update the month on the Payment tab.</t>
  </si>
  <si>
    <t>Use Alt F8 to access the subroutine menu.</t>
  </si>
  <si>
    <t>Input ID</t>
  </si>
  <si>
    <t xml:space="preserve">Update Prior from the previous month payment report ("Monthly" tab).  </t>
  </si>
  <si>
    <t>High school</t>
  </si>
  <si>
    <t>Graded elementary</t>
  </si>
  <si>
    <t>Rural</t>
  </si>
  <si>
    <t>Non-operating</t>
  </si>
  <si>
    <t>Special Education</t>
  </si>
  <si>
    <t>34-118</t>
  </si>
  <si>
    <t>Valley-Edinburg 118</t>
  </si>
  <si>
    <t>0000131853</t>
  </si>
  <si>
    <t>EntityID</t>
  </si>
  <si>
    <t>North Sargent 3</t>
  </si>
  <si>
    <t>South Prairie 70</t>
  </si>
  <si>
    <t>Sped redirect EducationalEntityID</t>
  </si>
  <si>
    <t>REA redirect EducationalEntityID</t>
  </si>
  <si>
    <t>Run this to generate the Foundation Aid Monthly Data import file.   "Monthly Dataset Import.csv"</t>
  </si>
  <si>
    <t>Run this (or CTRL K) to look up an individual district and update the Payment sheet. (accesses external data)</t>
  </si>
  <si>
    <t>PowerSchool</t>
  </si>
  <si>
    <t>SqMiles</t>
  </si>
  <si>
    <t>08</t>
  </si>
  <si>
    <t>Isolated275</t>
  </si>
  <si>
    <t>Isolated600</t>
  </si>
  <si>
    <t>SquareMiles</t>
  </si>
  <si>
    <t>Isolated School District</t>
  </si>
  <si>
    <t>10</t>
  </si>
  <si>
    <t>09</t>
  </si>
  <si>
    <t>11</t>
  </si>
  <si>
    <t>Index</t>
  </si>
  <si>
    <t>12</t>
  </si>
  <si>
    <t>01</t>
  </si>
  <si>
    <t>02</t>
  </si>
  <si>
    <t>03</t>
  </si>
  <si>
    <t>04</t>
  </si>
  <si>
    <t>05</t>
  </si>
  <si>
    <t>06</t>
  </si>
  <si>
    <t>07</t>
  </si>
  <si>
    <t>January</t>
  </si>
  <si>
    <t>February</t>
  </si>
  <si>
    <t>March</t>
  </si>
  <si>
    <t>April</t>
  </si>
  <si>
    <t>May</t>
  </si>
  <si>
    <t>June</t>
  </si>
  <si>
    <t>July</t>
  </si>
  <si>
    <t>August</t>
  </si>
  <si>
    <t xml:space="preserve">September </t>
  </si>
  <si>
    <t>October</t>
  </si>
  <si>
    <t>November</t>
  </si>
  <si>
    <t>December</t>
  </si>
  <si>
    <t>Kidder County 1</t>
  </si>
  <si>
    <t>Pingree-Buchanan 10</t>
  </si>
  <si>
    <t>Northern Cass 97</t>
  </si>
  <si>
    <t>State Issued ID</t>
  </si>
  <si>
    <t xml:space="preserve"> Summer School</t>
  </si>
  <si>
    <t xml:space="preserve"> Special Ed ESY</t>
  </si>
  <si>
    <t xml:space="preserve"> &gt;275 sq miles and &lt;100 ADM</t>
  </si>
  <si>
    <t xml:space="preserve"> &gt;600 sq miles and &lt;50 ADM</t>
  </si>
  <si>
    <t>Wilton 1</t>
  </si>
  <si>
    <t>Main Formula Data Requirements</t>
  </si>
  <si>
    <t>NOTE:  Delete year 7's going forward</t>
  </si>
  <si>
    <t>0</t>
  </si>
  <si>
    <t>Baselinewsu</t>
  </si>
  <si>
    <t>AltMiddleSchool</t>
  </si>
  <si>
    <t>Alt Middle School</t>
  </si>
  <si>
    <t>Tier new</t>
  </si>
  <si>
    <t>125-130</t>
  </si>
  <si>
    <t>130-135</t>
  </si>
  <si>
    <t>135-140</t>
  </si>
  <si>
    <t>140-145</t>
  </si>
  <si>
    <t>145-150</t>
  </si>
  <si>
    <t>150-155</t>
  </si>
  <si>
    <t>155-160</t>
  </si>
  <si>
    <t>160-165</t>
  </si>
  <si>
    <t>165-175</t>
  </si>
  <si>
    <t>175-185</t>
  </si>
  <si>
    <t>SUPPORTING CALCULATIONS</t>
  </si>
  <si>
    <t>CONTRIBUTION FROM OTHER LOCAL REVENUE</t>
  </si>
  <si>
    <t>Mobile Home and Other In-Lieu Taxes</t>
  </si>
  <si>
    <t>CONTRIBUTION FROM PROPERTY TAX</t>
  </si>
  <si>
    <t>District Taxable Valuation</t>
  </si>
  <si>
    <t>Weighted Student Units</t>
  </si>
  <si>
    <t>Contribution Mill Rate</t>
  </si>
  <si>
    <t>Contribution from Property Tax</t>
  </si>
  <si>
    <t>Formula Adjustments</t>
  </si>
  <si>
    <t>Adjustment for Minimum</t>
  </si>
  <si>
    <t>Minimum Funding Percentage</t>
  </si>
  <si>
    <t>Minimum Funding Amount</t>
  </si>
  <si>
    <t>District Taxable Valuation Per wsu</t>
  </si>
  <si>
    <t>Contribution from In-Lieu</t>
  </si>
  <si>
    <t>xref to dataset</t>
  </si>
  <si>
    <t>This is the main data source for the application.  The first section is external data brought in from the outside.  It recreates all calculations on the Revenue Worksheet and at the end handles the Yearly Entitlements.</t>
  </si>
  <si>
    <t>This sheet stores the prior payments.  This is updated each time the RunQuery macro fires.</t>
  </si>
  <si>
    <t>Update Data XXXX XX.xlsm for monthly payment adjustments.</t>
  </si>
  <si>
    <t>Procedure</t>
  </si>
  <si>
    <t>This sheet.</t>
  </si>
  <si>
    <t>Data4.XXXX XX.xlsm manages the redirected payments.</t>
  </si>
  <si>
    <t>Creates the Yearly Entitlement Adjustments stored after the calculation on the Data2 tab.</t>
  </si>
  <si>
    <t>School District Size Weighting Factor</t>
  </si>
  <si>
    <t>Transportation Grant Total (lesser of 90% cap or total)</t>
  </si>
  <si>
    <t>Minimum Increase Per Student</t>
  </si>
  <si>
    <t>STATE AID FORMULA:</t>
  </si>
  <si>
    <t>Minimum Local Effort Adjustment (NDCC 15.1-27-04.2)</t>
  </si>
  <si>
    <t>PYPropertyTaxContribution</t>
  </si>
  <si>
    <t>PYContributionFromPropertyTaxIncr</t>
  </si>
  <si>
    <t>50-008</t>
  </si>
  <si>
    <t>Park River Area 8</t>
  </si>
  <si>
    <t>Electric Generation, Distribution and Transmission Tax</t>
  </si>
  <si>
    <t>0000154850</t>
  </si>
  <si>
    <t>Minimum  Percent</t>
  </si>
  <si>
    <t>Contribution from Other Local Revenue</t>
  </si>
  <si>
    <t>Mobile Home and other in-lieu</t>
  </si>
  <si>
    <t>County Treasurer</t>
  </si>
  <si>
    <t>State Treasurer</t>
  </si>
  <si>
    <t>TaxValue</t>
  </si>
  <si>
    <t>Adjusted Formula Amount</t>
  </si>
  <si>
    <t>110-125</t>
  </si>
  <si>
    <t>0-110</t>
  </si>
  <si>
    <t>Conf final</t>
  </si>
  <si>
    <t>Sheyenne Valley Special Ed Unit</t>
  </si>
  <si>
    <t>Ft Totten Special Ed Unit</t>
  </si>
  <si>
    <t>Peace Garden Student Support Services</t>
  </si>
  <si>
    <t>Bowman Co 1</t>
  </si>
  <si>
    <t>Burleigh Co Special Ed Unit</t>
  </si>
  <si>
    <t>Bismarck Special Ed Unit</t>
  </si>
  <si>
    <t>Rural Cass Special Ed Unit</t>
  </si>
  <si>
    <t>Fargo Special Ed Unit</t>
  </si>
  <si>
    <t>West Fargo Special Ed Unit</t>
  </si>
  <si>
    <t>East Central Special Ed Unit</t>
  </si>
  <si>
    <t>Emmons Co Special Ed Unit</t>
  </si>
  <si>
    <t>Grand Forks Special Ed Unit</t>
  </si>
  <si>
    <t>South Central Prairie Sp Ed Unit</t>
  </si>
  <si>
    <t>Oliver-Mercer Special Ed Unit</t>
  </si>
  <si>
    <t>Morton-Sioux Special Ed Unit</t>
  </si>
  <si>
    <t>Northern Plains Special Ed Unit</t>
  </si>
  <si>
    <t>Lake Region Special Ed Unit</t>
  </si>
  <si>
    <t>South Valley Special Ed Unit</t>
  </si>
  <si>
    <t>Wahpeton Special Ed Unit</t>
  </si>
  <si>
    <t>Turtle Mt Special Ed Unit</t>
  </si>
  <si>
    <t>Standing Rock Special Ed Unit</t>
  </si>
  <si>
    <t>Dickinson Special Ed Unit</t>
  </si>
  <si>
    <t>Jamestown Special Ed Unit</t>
  </si>
  <si>
    <t>GST Special Ed Unit</t>
  </si>
  <si>
    <t>Upper Valley Special Ed Unit</t>
  </si>
  <si>
    <t>Souris Valley Special Ed Unit</t>
  </si>
  <si>
    <t>Lonetree Special Ed Unit</t>
  </si>
  <si>
    <t>Wilmac Special Ed Unit</t>
  </si>
  <si>
    <t>Missouri River Ed Cooperative</t>
  </si>
  <si>
    <t>Southwest Special Ed Unit</t>
  </si>
  <si>
    <t>New Salem-Almont 49</t>
  </si>
  <si>
    <t>Pembina Special Ed Cooperative</t>
  </si>
  <si>
    <t>West River Student Services Unit</t>
  </si>
  <si>
    <t>James River Special Ed Cooperative</t>
  </si>
  <si>
    <t>Hatton Eielson 7</t>
  </si>
  <si>
    <t>Mid-Dakota Ed Council</t>
  </si>
  <si>
    <t>Import Files</t>
  </si>
  <si>
    <t>YearlyEntitlementImport</t>
  </si>
  <si>
    <t>MonthlyDataSetImport</t>
  </si>
  <si>
    <t>Reports</t>
  </si>
  <si>
    <t>EquityReport</t>
  </si>
  <si>
    <t xml:space="preserve">Generates a district level formula report </t>
  </si>
  <si>
    <t>StateWideReport</t>
  </si>
  <si>
    <t>Generates a multiple sheet report for student, transportation and payment statistics</t>
  </si>
  <si>
    <t>Peoplesoft</t>
  </si>
  <si>
    <t>Generates a test payment file to reconcile with the Peoplesoft output file</t>
  </si>
  <si>
    <t>UpdateAll</t>
  </si>
  <si>
    <t>Runs all the necessary routines to update records and create output reports.</t>
  </si>
  <si>
    <t>PDFReports</t>
  </si>
  <si>
    <t>Generates individual district payment vouchers and supporting worksheet reports.</t>
  </si>
  <si>
    <t>..\ExtractFiles\FinanceData2016.xls</t>
  </si>
  <si>
    <t>..\ExtractFiles\FndAidADM2016.xls</t>
  </si>
  <si>
    <t>..\Extract Files\Transportation 2016.xls</t>
  </si>
  <si>
    <t>..\Extract Files\TCost90 2016.xls</t>
  </si>
  <si>
    <t>..\Extract Files\ELL 2016.xlsm</t>
  </si>
  <si>
    <t>..\Adjustments\Baseline\State School Aid Baseline 2014-15.xlsx</t>
  </si>
  <si>
    <t>SITVPP final</t>
  </si>
  <si>
    <t>51-701</t>
  </si>
  <si>
    <t>0000168219</t>
  </si>
  <si>
    <t>Minot Special Education Unit</t>
  </si>
  <si>
    <t xml:space="preserve">     </t>
  </si>
  <si>
    <t>0000008444</t>
  </si>
  <si>
    <t>Fort Yates Special Education Unit</t>
  </si>
  <si>
    <t>0000177698</t>
  </si>
  <si>
    <t>0000008462</t>
  </si>
  <si>
    <t>08-378</t>
  </si>
  <si>
    <t>Central Regional Ed Association</t>
  </si>
  <si>
    <t>Apportioned Revenue</t>
  </si>
  <si>
    <t>S &amp; I Levy</t>
  </si>
  <si>
    <t>Total Levy</t>
  </si>
  <si>
    <t>Non S &amp; I Percentage</t>
  </si>
  <si>
    <t>S&amp; I Mills</t>
  </si>
  <si>
    <t>Total Mills</t>
  </si>
  <si>
    <t>WSUs Above Baseline</t>
  </si>
  <si>
    <t>Baseline Funding (2018-19 Formula Payment)</t>
  </si>
  <si>
    <t>Baseline Weighted Student Units (2018-19)</t>
  </si>
  <si>
    <t>0000179922</t>
  </si>
  <si>
    <t>OnTime</t>
  </si>
  <si>
    <t>On Time</t>
  </si>
  <si>
    <t>WSU Adj</t>
  </si>
  <si>
    <t>Contribution From Property Tax Deduct</t>
  </si>
  <si>
    <t>09-085</t>
  </si>
  <si>
    <t>Hope Page 85</t>
  </si>
  <si>
    <t>OnTimeFunding</t>
  </si>
  <si>
    <t>OnTimeFundingOvrd</t>
  </si>
  <si>
    <t>OnTimeFundingOvrdInd</t>
  </si>
  <si>
    <t>SpringADMFundingAdjustment</t>
  </si>
  <si>
    <t>SpringADMFundingAdjustmentOvrd</t>
  </si>
  <si>
    <t>SpringADMFundingAdjustmentOvrdInd</t>
  </si>
  <si>
    <t>TotalLevy</t>
  </si>
  <si>
    <t>Office of Fiscal Management - SFO</t>
  </si>
  <si>
    <t>LocalEffortAdjustment</t>
  </si>
  <si>
    <t>0000185337</t>
  </si>
  <si>
    <t>SILevy</t>
  </si>
  <si>
    <t>0000008585</t>
  </si>
  <si>
    <t>53-007</t>
  </si>
  <si>
    <t>Williston Basin 7</t>
  </si>
  <si>
    <t>50-018</t>
  </si>
  <si>
    <t>Grafton 18</t>
  </si>
  <si>
    <t>0000188963</t>
  </si>
  <si>
    <t>0000189104</t>
  </si>
  <si>
    <t>42-029</t>
  </si>
  <si>
    <t>McClusky-Goodrich 29</t>
  </si>
  <si>
    <t>EXCESS FUND BALANCE OFFSET (Suspended until 2027-28)</t>
  </si>
  <si>
    <t>08-739</t>
  </si>
  <si>
    <t>Central regional Area Special Ed Unit</t>
  </si>
  <si>
    <t>0000008532</t>
  </si>
  <si>
    <t>OnTime Adj</t>
  </si>
  <si>
    <t>Virtual Average Daily Membership</t>
  </si>
  <si>
    <t>In Person Average Daily Membership</t>
  </si>
  <si>
    <t>In Person Weighted Student Units</t>
  </si>
  <si>
    <t>Total Weighted Student Units (add lines 25 and 28)</t>
  </si>
  <si>
    <t>On Time Funding Calculation Lines 12 &amp; 13</t>
  </si>
  <si>
    <t>Line 13</t>
  </si>
  <si>
    <t>VirtualADM</t>
  </si>
  <si>
    <t>K12Fall Enroll</t>
  </si>
  <si>
    <t>Previous Year OnTime</t>
  </si>
  <si>
    <t>LYK12 Fall Enroll</t>
  </si>
  <si>
    <t>In Person ADM</t>
  </si>
  <si>
    <t>In Person WSU</t>
  </si>
  <si>
    <t>Totoa WSU</t>
  </si>
  <si>
    <t>34-703</t>
  </si>
  <si>
    <t>Valley-Edinburg Special Ed Unit</t>
  </si>
  <si>
    <t>OnTimeFundingPriorYear</t>
  </si>
  <si>
    <t>K12FallEnrollmentCurrentYear</t>
  </si>
  <si>
    <t>K12FallEnrollmentPriorYear</t>
  </si>
  <si>
    <t>53-352</t>
  </si>
  <si>
    <t>0000206796</t>
  </si>
  <si>
    <t>Western Education Regional Cooperative</t>
  </si>
  <si>
    <t>Line 12 (Line 74 - 73 Can't fall below 0)</t>
  </si>
  <si>
    <t>G</t>
  </si>
  <si>
    <t>Small Bus Runs</t>
  </si>
  <si>
    <t>Large Bus Runs</t>
  </si>
  <si>
    <t>District Square Miles</t>
  </si>
  <si>
    <t>SmallBusMiles</t>
  </si>
  <si>
    <t>LargeBusMiles</t>
  </si>
  <si>
    <t>SmBusRuns</t>
  </si>
  <si>
    <t>LargeBusRuns</t>
  </si>
  <si>
    <t>K-12 Buildings</t>
  </si>
  <si>
    <t>LgBusCombMiles</t>
  </si>
  <si>
    <t>SmBusCombMiles</t>
  </si>
  <si>
    <t>LgBusRuns</t>
  </si>
  <si>
    <t>K12Buildings</t>
  </si>
  <si>
    <t>Switch Rate and Miles columns</t>
  </si>
  <si>
    <t>Transportation Average Daily Membership</t>
  </si>
  <si>
    <t>Transportation Weighted Student Units</t>
  </si>
  <si>
    <t>Transportation Payment (Multiply lines 30 and 59)</t>
  </si>
  <si>
    <t>Data</t>
  </si>
  <si>
    <t>Payment To REA</t>
  </si>
  <si>
    <t>2025-26 K-12 ADM (Lines 2-6)</t>
  </si>
  <si>
    <t>2025-26 On Time Funding (Line 12 2025-26 Worksheet)</t>
  </si>
  <si>
    <t>2025-26 Fall Enrollment</t>
  </si>
  <si>
    <t>2026-27 K-12 Fall Enrollment</t>
  </si>
  <si>
    <t>Spring 2026 ADM Adjustment</t>
  </si>
  <si>
    <t>Family - To School Miles</t>
  </si>
  <si>
    <t>Family  - To Bus Miles</t>
  </si>
  <si>
    <t>PK-12 School Buildings</t>
  </si>
  <si>
    <t>Baseline Funding Per Student</t>
  </si>
  <si>
    <t>2026-27 Fall Enrollment above 2026 ADM</t>
  </si>
  <si>
    <t>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</si>
</sst>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0.00_);[Red]\(&quot;$&quot;#,##0.00\)"/>
    <numFmt numFmtId="43" formatCode="_(* #,##0.00_);_(* \(#,##0.00\);_(* &quot;-&quot;??_);_(@_)"/>
    <numFmt numFmtId="164" formatCode="00000"/>
    <numFmt numFmtId="165" formatCode="_(* #,##0_);_(* \(#,##0\);_(* &quot;-&quot;??_);_(@_)"/>
    <numFmt numFmtId="166" formatCode="_(* #,##0.000_);_(* \(#,##0.000\);_(* &quot;-&quot;??_);_(@_)"/>
    <numFmt numFmtId="167" formatCode="_(* #,##0.0000_);_(* \(#,##0.0000\);_(* &quot;-&quot;??_);_(@_)"/>
    <numFmt numFmtId="168" formatCode="0.0000"/>
    <numFmt numFmtId="169" formatCode="0.000"/>
    <numFmt numFmtId="170" formatCode="0.00000"/>
    <numFmt numFmtId="171" formatCode="0.0000000000000000000"/>
    <numFmt numFmtId="172" formatCode="_(* #,##0.000000000_);_(* \(#,##0.000000000\);_(* &quot;-&quot;??_);_(@_)"/>
    <numFmt numFmtId="173" formatCode="_(* #,##0.00000_);_(* \(#,##0.00000\);_(* &quot;-&quot;??_);_(@_)"/>
  </numFmts>
  <fonts count="34" x14ac:knownFonts="1">
    <font>
      <sz val="10"/>
      <name val="Arial"/>
    </font>
    <font>
      <sz val="11"/>
      <color theme="1"/>
      <name val="Calibri"/>
      <family val="2"/>
      <scheme val="minor"/>
    </font>
    <font>
      <sz val="10"/>
      <name val="Arial"/>
      <family val="2"/>
    </font>
    <font>
      <b/>
      <sz val="8"/>
      <color indexed="12"/>
      <name val="Arial"/>
      <family val="2"/>
    </font>
    <font>
      <sz val="8"/>
      <name val="Arial"/>
      <family val="2"/>
    </font>
    <font>
      <u/>
      <sz val="8"/>
      <name val="Arial"/>
      <family val="2"/>
    </font>
    <font>
      <sz val="8"/>
      <color indexed="12"/>
      <name val="Arial"/>
      <family val="2"/>
    </font>
    <font>
      <b/>
      <sz val="8"/>
      <name val="Arial"/>
      <family val="2"/>
    </font>
    <font>
      <sz val="8"/>
      <name val="Arial"/>
      <family val="2"/>
    </font>
    <font>
      <b/>
      <sz val="12"/>
      <name val="Arial"/>
      <family val="2"/>
    </font>
    <font>
      <i/>
      <sz val="8"/>
      <name val="Arial"/>
      <family val="2"/>
    </font>
    <font>
      <sz val="8"/>
      <color indexed="12"/>
      <name val="Arial"/>
      <family val="2"/>
    </font>
    <font>
      <sz val="8"/>
      <name val="Courier New"/>
      <family val="3"/>
    </font>
    <font>
      <sz val="8"/>
      <color indexed="60"/>
      <name val="Arial"/>
      <family val="2"/>
    </font>
    <font>
      <b/>
      <sz val="10"/>
      <color indexed="12"/>
      <name val="Arial"/>
      <family val="2"/>
    </font>
    <font>
      <b/>
      <sz val="10"/>
      <name val="Arial"/>
      <family val="2"/>
    </font>
    <font>
      <sz val="10"/>
      <color indexed="12"/>
      <name val="Arial"/>
      <family val="2"/>
    </font>
    <font>
      <b/>
      <sz val="8"/>
      <color indexed="12"/>
      <name val="Arial"/>
      <family val="2"/>
    </font>
    <font>
      <i/>
      <sz val="10"/>
      <name val="Arial"/>
      <family val="2"/>
    </font>
    <font>
      <sz val="8"/>
      <color rgb="FF0070C0"/>
      <name val="Arial"/>
      <family val="2"/>
    </font>
    <font>
      <sz val="8"/>
      <color rgb="FF2DA12D"/>
      <name val="Arial"/>
      <family val="2"/>
    </font>
    <font>
      <sz val="8"/>
      <color indexed="81"/>
      <name val="Tahoma"/>
      <family val="2"/>
    </font>
    <font>
      <b/>
      <sz val="8"/>
      <color indexed="81"/>
      <name val="Tahoma"/>
      <family val="2"/>
    </font>
    <font>
      <u/>
      <sz val="10"/>
      <color theme="10"/>
      <name val="Arial"/>
      <family val="2"/>
    </font>
    <font>
      <u/>
      <sz val="8"/>
      <color theme="10"/>
      <name val="Arial"/>
      <family val="2"/>
    </font>
    <font>
      <sz val="10"/>
      <color rgb="FFFF0000"/>
      <name val="Arial"/>
      <family val="2"/>
    </font>
    <font>
      <strike/>
      <sz val="10"/>
      <name val="Arial"/>
      <family val="2"/>
    </font>
    <font>
      <sz val="9"/>
      <color indexed="81"/>
      <name val="Tahoma"/>
      <family val="2"/>
    </font>
    <font>
      <b/>
      <sz val="9"/>
      <color indexed="81"/>
      <name val="Tahoma"/>
      <family val="2"/>
    </font>
    <font>
      <b/>
      <u val="singleAccounting"/>
      <sz val="8"/>
      <name val="Arial"/>
      <family val="2"/>
    </font>
    <font>
      <sz val="8"/>
      <color rgb="FFFF0000"/>
      <name val="Arial"/>
      <family val="2"/>
    </font>
    <font>
      <b/>
      <i/>
      <sz val="8"/>
      <color indexed="12"/>
      <name val="Arial"/>
      <family val="2"/>
    </font>
    <font>
      <sz val="9"/>
      <color indexed="81"/>
      <name val="Tahoma"/>
      <charset val="1"/>
    </font>
    <font>
      <b/>
      <sz val="9"/>
      <color indexed="81"/>
      <name val="Tahoma"/>
      <charset val="1"/>
    </font>
  </fonts>
  <fills count="13">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0000"/>
        <bgColor indexed="64"/>
      </patternFill>
    </fill>
    <fill>
      <patternFill patternType="solid">
        <fgColor rgb="FF2DA12D"/>
        <bgColor indexed="64"/>
      </patternFill>
    </fill>
    <fill>
      <patternFill patternType="solid">
        <fgColor theme="9" tint="0.79998168889431442"/>
        <bgColor indexed="64"/>
      </patternFill>
    </fill>
    <fill>
      <patternFill patternType="solid">
        <fgColor theme="5" tint="0.79998168889431442"/>
        <bgColor indexed="64"/>
      </patternFill>
    </fill>
  </fills>
  <borders count="2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8">
    <xf numFmtId="0" fontId="0" fillId="0" borderId="0"/>
    <xf numFmtId="43" fontId="2" fillId="0" borderId="0" applyFont="0" applyFill="0" applyBorder="0" applyAlignment="0" applyProtection="0"/>
    <xf numFmtId="9" fontId="2" fillId="0" borderId="0" applyFont="0" applyFill="0" applyBorder="0" applyAlignment="0" applyProtection="0"/>
    <xf numFmtId="0" fontId="23" fillId="0" borderId="0" applyNumberFormat="0" applyFill="0" applyBorder="0" applyAlignment="0" applyProtection="0">
      <alignment vertical="top"/>
      <protection locked="0"/>
    </xf>
    <xf numFmtId="0" fontId="1" fillId="0" borderId="0"/>
    <xf numFmtId="43" fontId="1" fillId="0" borderId="0" applyFont="0" applyFill="0" applyBorder="0" applyAlignment="0" applyProtection="0"/>
    <xf numFmtId="43" fontId="2" fillId="0" borderId="0" applyFont="0" applyFill="0" applyBorder="0" applyAlignment="0" applyProtection="0"/>
    <xf numFmtId="0" fontId="2" fillId="0" borderId="0"/>
  </cellStyleXfs>
  <cellXfs count="286">
    <xf numFmtId="0" fontId="0" fillId="0" borderId="0" xfId="0"/>
    <xf numFmtId="43" fontId="4" fillId="0" borderId="0" xfId="1" applyFont="1" applyBorder="1"/>
    <xf numFmtId="43" fontId="4" fillId="0" borderId="1" xfId="1" applyFont="1" applyBorder="1"/>
    <xf numFmtId="0" fontId="4" fillId="0" borderId="1" xfId="0" applyFont="1" applyBorder="1"/>
    <xf numFmtId="0" fontId="4" fillId="0" borderId="0" xfId="0" applyFont="1"/>
    <xf numFmtId="43" fontId="4" fillId="0" borderId="0" xfId="1" applyFont="1"/>
    <xf numFmtId="0" fontId="7" fillId="0" borderId="0" xfId="0" applyFont="1" applyAlignment="1">
      <alignment wrapText="1"/>
    </xf>
    <xf numFmtId="43" fontId="7" fillId="0" borderId="0" xfId="1" applyFont="1" applyAlignment="1">
      <alignment wrapText="1"/>
    </xf>
    <xf numFmtId="167" fontId="4" fillId="0" borderId="0" xfId="1" applyNumberFormat="1" applyFont="1"/>
    <xf numFmtId="0" fontId="8" fillId="0" borderId="0" xfId="0" applyFont="1"/>
    <xf numFmtId="0" fontId="8" fillId="0" borderId="0" xfId="0" applyFont="1" applyAlignment="1">
      <alignment horizontal="left" indent="1"/>
    </xf>
    <xf numFmtId="0" fontId="8" fillId="0" borderId="0" xfId="0" applyFont="1" applyAlignment="1">
      <alignment wrapText="1"/>
    </xf>
    <xf numFmtId="0" fontId="8" fillId="0" borderId="0" xfId="0" applyFont="1" applyAlignment="1">
      <alignment horizontal="center" wrapText="1"/>
    </xf>
    <xf numFmtId="43" fontId="8" fillId="0" borderId="0" xfId="1" applyFont="1"/>
    <xf numFmtId="0" fontId="8" fillId="0" borderId="0" xfId="0" applyFont="1" applyAlignment="1">
      <alignment horizontal="center"/>
    </xf>
    <xf numFmtId="43" fontId="7" fillId="0" borderId="0" xfId="0" applyNumberFormat="1" applyFont="1" applyProtection="1">
      <protection hidden="1"/>
    </xf>
    <xf numFmtId="0" fontId="4" fillId="0" borderId="0" xfId="0" applyFont="1" applyProtection="1">
      <protection hidden="1"/>
    </xf>
    <xf numFmtId="0" fontId="4" fillId="0" borderId="2" xfId="0" applyFont="1" applyBorder="1" applyProtection="1">
      <protection hidden="1"/>
    </xf>
    <xf numFmtId="0" fontId="4" fillId="0" borderId="3" xfId="0" applyFont="1" applyBorder="1" applyProtection="1">
      <protection hidden="1"/>
    </xf>
    <xf numFmtId="0" fontId="4" fillId="0" borderId="5" xfId="0" applyFont="1" applyBorder="1" applyProtection="1">
      <protection hidden="1"/>
    </xf>
    <xf numFmtId="43" fontId="4" fillId="0" borderId="0" xfId="1" applyFont="1" applyBorder="1" applyProtection="1">
      <protection hidden="1"/>
    </xf>
    <xf numFmtId="0" fontId="4" fillId="0" borderId="6" xfId="0" applyFont="1" applyBorder="1" applyProtection="1">
      <protection hidden="1"/>
    </xf>
    <xf numFmtId="43" fontId="7" fillId="0" borderId="1" xfId="0" applyNumberFormat="1" applyFont="1" applyBorder="1" applyProtection="1">
      <protection hidden="1"/>
    </xf>
    <xf numFmtId="43" fontId="4" fillId="0" borderId="1" xfId="1" applyFont="1" applyBorder="1" applyProtection="1">
      <protection hidden="1"/>
    </xf>
    <xf numFmtId="0" fontId="4" fillId="0" borderId="7" xfId="0" applyFont="1" applyBorder="1" applyProtection="1">
      <protection hidden="1"/>
    </xf>
    <xf numFmtId="164" fontId="7" fillId="0" borderId="0" xfId="1" applyNumberFormat="1" applyFont="1" applyBorder="1" applyProtection="1">
      <protection hidden="1"/>
    </xf>
    <xf numFmtId="0" fontId="7" fillId="0" borderId="0" xfId="0" applyFont="1" applyAlignment="1" applyProtection="1">
      <alignment horizontal="center"/>
      <protection hidden="1"/>
    </xf>
    <xf numFmtId="0" fontId="7" fillId="0" borderId="0" xfId="0" applyFont="1" applyProtection="1">
      <protection hidden="1"/>
    </xf>
    <xf numFmtId="0" fontId="4" fillId="0" borderId="0" xfId="0" applyFont="1" applyAlignment="1" applyProtection="1">
      <alignment horizontal="left"/>
      <protection hidden="1"/>
    </xf>
    <xf numFmtId="43" fontId="4" fillId="0" borderId="0" xfId="1" applyFont="1" applyBorder="1" applyAlignment="1" applyProtection="1">
      <alignment horizontal="center" wrapText="1"/>
      <protection hidden="1"/>
    </xf>
    <xf numFmtId="43" fontId="4" fillId="0" borderId="8" xfId="1" applyFont="1" applyBorder="1" applyProtection="1">
      <protection hidden="1"/>
    </xf>
    <xf numFmtId="166" fontId="4" fillId="0" borderId="0" xfId="1" applyNumberFormat="1" applyFont="1" applyBorder="1" applyProtection="1">
      <protection hidden="1"/>
    </xf>
    <xf numFmtId="43" fontId="5" fillId="0" borderId="0" xfId="1" applyFont="1" applyBorder="1" applyAlignment="1" applyProtection="1">
      <alignment horizontal="center"/>
      <protection hidden="1"/>
    </xf>
    <xf numFmtId="166" fontId="5" fillId="0" borderId="0" xfId="1" applyNumberFormat="1" applyFont="1" applyBorder="1" applyProtection="1">
      <protection hidden="1"/>
    </xf>
    <xf numFmtId="43" fontId="6" fillId="0" borderId="0" xfId="1" applyFont="1" applyBorder="1" applyProtection="1">
      <protection hidden="1"/>
    </xf>
    <xf numFmtId="43" fontId="4" fillId="0" borderId="0" xfId="0" applyNumberFormat="1" applyFont="1" applyProtection="1">
      <protection hidden="1"/>
    </xf>
    <xf numFmtId="43" fontId="4" fillId="0" borderId="0" xfId="1" applyFont="1" applyBorder="1" applyAlignment="1" applyProtection="1">
      <alignment horizontal="center"/>
      <protection hidden="1"/>
    </xf>
    <xf numFmtId="9" fontId="4" fillId="0" borderId="0" xfId="0" applyNumberFormat="1" applyFont="1" applyProtection="1">
      <protection hidden="1"/>
    </xf>
    <xf numFmtId="165" fontId="4" fillId="0" borderId="0" xfId="1" applyNumberFormat="1" applyFont="1" applyBorder="1" applyProtection="1">
      <protection hidden="1"/>
    </xf>
    <xf numFmtId="9" fontId="4" fillId="0" borderId="0" xfId="1" applyNumberFormat="1" applyFont="1" applyBorder="1" applyProtection="1">
      <protection hidden="1"/>
    </xf>
    <xf numFmtId="0" fontId="6" fillId="0" borderId="0" xfId="0" applyFont="1" applyProtection="1">
      <protection hidden="1"/>
    </xf>
    <xf numFmtId="165" fontId="6" fillId="0" borderId="0" xfId="1" applyNumberFormat="1" applyFont="1" applyBorder="1" applyProtection="1">
      <protection hidden="1"/>
    </xf>
    <xf numFmtId="43" fontId="4" fillId="0" borderId="0" xfId="1" applyFont="1" applyProtection="1">
      <protection hidden="1"/>
    </xf>
    <xf numFmtId="0" fontId="4" fillId="0" borderId="0" xfId="1" applyNumberFormat="1" applyFont="1" applyBorder="1" applyProtection="1">
      <protection hidden="1"/>
    </xf>
    <xf numFmtId="165" fontId="4" fillId="0" borderId="0" xfId="1" applyNumberFormat="1" applyFont="1" applyProtection="1">
      <protection hidden="1"/>
    </xf>
    <xf numFmtId="165" fontId="4" fillId="0" borderId="0" xfId="0" applyNumberFormat="1"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horizontal="left" indent="1"/>
      <protection hidden="1"/>
    </xf>
    <xf numFmtId="43" fontId="4" fillId="0" borderId="8" xfId="1" applyFont="1" applyBorder="1" applyAlignment="1" applyProtection="1">
      <alignment horizontal="center"/>
      <protection hidden="1"/>
    </xf>
    <xf numFmtId="0" fontId="4" fillId="0" borderId="9" xfId="0" applyFont="1" applyBorder="1" applyProtection="1">
      <protection hidden="1"/>
    </xf>
    <xf numFmtId="0" fontId="9" fillId="0" borderId="0" xfId="0" applyFont="1" applyAlignment="1" applyProtection="1">
      <alignment horizontal="left" indent="4"/>
      <protection hidden="1"/>
    </xf>
    <xf numFmtId="0" fontId="4" fillId="0" borderId="0" xfId="0" applyFont="1" applyAlignment="1" applyProtection="1">
      <alignment horizontal="left" indent="4"/>
      <protection hidden="1"/>
    </xf>
    <xf numFmtId="0" fontId="4" fillId="0" borderId="0" xfId="0" quotePrefix="1" applyFont="1" applyAlignment="1" applyProtection="1">
      <alignment horizontal="left" indent="1"/>
      <protection hidden="1"/>
    </xf>
    <xf numFmtId="43" fontId="6" fillId="0" borderId="0" xfId="1" applyFont="1" applyFill="1" applyBorder="1" applyAlignment="1" applyProtection="1">
      <alignment horizontal="center"/>
      <protection locked="0" hidden="1"/>
    </xf>
    <xf numFmtId="0" fontId="8" fillId="0" borderId="0" xfId="0" applyFont="1" applyAlignment="1" applyProtection="1">
      <alignment horizontal="left"/>
      <protection hidden="1"/>
    </xf>
    <xf numFmtId="0" fontId="8" fillId="0" borderId="0" xfId="0" applyFont="1" applyProtection="1">
      <protection hidden="1"/>
    </xf>
    <xf numFmtId="43" fontId="8" fillId="0" borderId="8" xfId="1" applyFont="1" applyBorder="1" applyProtection="1">
      <protection hidden="1"/>
    </xf>
    <xf numFmtId="0" fontId="8" fillId="0" borderId="0" xfId="0" applyFont="1" applyAlignment="1">
      <alignment horizontal="right"/>
    </xf>
    <xf numFmtId="0" fontId="8" fillId="0" borderId="9" xfId="0" applyFont="1" applyBorder="1"/>
    <xf numFmtId="43" fontId="8" fillId="0" borderId="0" xfId="1" applyFont="1" applyAlignment="1">
      <alignment horizontal="left"/>
    </xf>
    <xf numFmtId="43" fontId="8" fillId="0" borderId="1" xfId="1" applyFont="1" applyBorder="1" applyAlignment="1">
      <alignment horizontal="left"/>
    </xf>
    <xf numFmtId="43" fontId="8" fillId="0" borderId="1" xfId="1" applyFont="1" applyBorder="1"/>
    <xf numFmtId="0" fontId="12" fillId="0" borderId="0" xfId="0" applyFont="1"/>
    <xf numFmtId="0" fontId="7" fillId="0" borderId="0" xfId="0" applyFont="1" applyAlignment="1">
      <alignment textRotation="90" wrapText="1"/>
    </xf>
    <xf numFmtId="0" fontId="8" fillId="0" borderId="0" xfId="0" quotePrefix="1" applyFont="1"/>
    <xf numFmtId="0" fontId="13" fillId="0" borderId="0" xfId="0" applyFont="1" applyAlignment="1">
      <alignment horizontal="left" indent="1"/>
    </xf>
    <xf numFmtId="0" fontId="13" fillId="0" borderId="0" xfId="0" applyFont="1"/>
    <xf numFmtId="0" fontId="11" fillId="0" borderId="0" xfId="0" applyFont="1"/>
    <xf numFmtId="0" fontId="8" fillId="0" borderId="0" xfId="0" applyFont="1" applyAlignment="1">
      <alignment horizontal="left"/>
    </xf>
    <xf numFmtId="0" fontId="11" fillId="0" borderId="0" xfId="0" applyFont="1" applyAlignment="1">
      <alignment horizontal="left" indent="1"/>
    </xf>
    <xf numFmtId="43" fontId="11" fillId="0" borderId="0" xfId="0" applyNumberFormat="1" applyFont="1"/>
    <xf numFmtId="0" fontId="11" fillId="0" borderId="0" xfId="0" quotePrefix="1" applyFont="1"/>
    <xf numFmtId="0" fontId="8" fillId="0" borderId="0" xfId="1" applyNumberFormat="1" applyFont="1"/>
    <xf numFmtId="43" fontId="8" fillId="0" borderId="0" xfId="0" applyNumberFormat="1" applyFont="1"/>
    <xf numFmtId="14" fontId="8" fillId="0" borderId="0" xfId="0" applyNumberFormat="1" applyFont="1"/>
    <xf numFmtId="2" fontId="4" fillId="0" borderId="0" xfId="1" applyNumberFormat="1" applyFont="1" applyBorder="1" applyProtection="1">
      <protection hidden="1"/>
    </xf>
    <xf numFmtId="2" fontId="5" fillId="0" borderId="0" xfId="1" applyNumberFormat="1" applyFont="1" applyBorder="1" applyProtection="1">
      <protection hidden="1"/>
    </xf>
    <xf numFmtId="2" fontId="4" fillId="0" borderId="0" xfId="0" applyNumberFormat="1" applyFont="1" applyAlignment="1" applyProtection="1">
      <alignment horizontal="center"/>
      <protection hidden="1"/>
    </xf>
    <xf numFmtId="2" fontId="4" fillId="0" borderId="0" xfId="0" applyNumberFormat="1" applyFont="1" applyProtection="1">
      <protection hidden="1"/>
    </xf>
    <xf numFmtId="0" fontId="8" fillId="0" borderId="0" xfId="0" applyFont="1" applyAlignment="1" applyProtection="1">
      <alignment horizontal="center" wrapText="1"/>
      <protection hidden="1"/>
    </xf>
    <xf numFmtId="43" fontId="7" fillId="0" borderId="0" xfId="1" applyFont="1"/>
    <xf numFmtId="43" fontId="4" fillId="0" borderId="0" xfId="1" applyFont="1" applyAlignment="1" applyProtection="1">
      <alignment horizontal="left"/>
      <protection hidden="1"/>
    </xf>
    <xf numFmtId="43" fontId="4" fillId="0" borderId="0" xfId="1" applyFont="1" applyAlignment="1">
      <alignment horizontal="left"/>
    </xf>
    <xf numFmtId="0" fontId="4" fillId="0" borderId="9" xfId="0" applyFont="1" applyBorder="1"/>
    <xf numFmtId="0" fontId="4" fillId="0" borderId="11" xfId="0" applyFont="1" applyBorder="1" applyAlignment="1">
      <alignment horizontal="center" wrapText="1"/>
    </xf>
    <xf numFmtId="43" fontId="4" fillId="0" borderId="12" xfId="1" applyFont="1" applyBorder="1" applyProtection="1">
      <protection hidden="1"/>
    </xf>
    <xf numFmtId="14" fontId="4" fillId="0" borderId="11" xfId="0" applyNumberFormat="1" applyFont="1" applyBorder="1" applyAlignment="1">
      <alignment horizontal="center"/>
    </xf>
    <xf numFmtId="14" fontId="4" fillId="0" borderId="0" xfId="0" applyNumberFormat="1" applyFont="1"/>
    <xf numFmtId="43" fontId="4" fillId="0" borderId="11" xfId="1" applyFont="1" applyBorder="1" applyAlignment="1">
      <alignment horizontal="center" wrapText="1"/>
    </xf>
    <xf numFmtId="0" fontId="14" fillId="0" borderId="0" xfId="0" quotePrefix="1" applyFont="1"/>
    <xf numFmtId="0" fontId="15" fillId="0" borderId="0" xfId="0" applyFont="1"/>
    <xf numFmtId="0" fontId="0" fillId="0" borderId="0" xfId="0" quotePrefix="1"/>
    <xf numFmtId="0" fontId="14" fillId="0" borderId="0" xfId="0" applyFont="1"/>
    <xf numFmtId="0" fontId="16" fillId="0" borderId="0" xfId="0" applyFont="1"/>
    <xf numFmtId="0" fontId="8" fillId="0" borderId="1" xfId="0" applyFont="1" applyBorder="1"/>
    <xf numFmtId="167" fontId="6" fillId="0" borderId="0" xfId="1" applyNumberFormat="1" applyFont="1"/>
    <xf numFmtId="43" fontId="8" fillId="0" borderId="0" xfId="0" applyNumberFormat="1" applyFont="1" applyProtection="1">
      <protection hidden="1"/>
    </xf>
    <xf numFmtId="0" fontId="9" fillId="0" borderId="0" xfId="0" applyFont="1" applyAlignment="1" applyProtection="1">
      <alignment horizontal="left" indent="5"/>
      <protection hidden="1"/>
    </xf>
    <xf numFmtId="0" fontId="4" fillId="0" borderId="0" xfId="0" applyFont="1" applyAlignment="1" applyProtection="1">
      <alignment horizontal="left" indent="5"/>
      <protection hidden="1"/>
    </xf>
    <xf numFmtId="43" fontId="4" fillId="0" borderId="0" xfId="0" applyNumberFormat="1" applyFont="1"/>
    <xf numFmtId="43" fontId="4" fillId="0" borderId="1" xfId="1" applyFont="1" applyBorder="1" applyAlignment="1">
      <alignment horizontal="left"/>
    </xf>
    <xf numFmtId="43" fontId="11" fillId="0" borderId="0" xfId="1" applyFont="1"/>
    <xf numFmtId="43" fontId="8" fillId="0" borderId="0" xfId="1" applyFont="1" applyAlignment="1">
      <alignment horizontal="center"/>
    </xf>
    <xf numFmtId="43" fontId="11" fillId="0" borderId="0" xfId="1" applyFont="1" applyAlignment="1">
      <alignment horizontal="center"/>
    </xf>
    <xf numFmtId="43" fontId="11" fillId="0" borderId="0" xfId="1" applyFont="1" applyAlignment="1"/>
    <xf numFmtId="0" fontId="11" fillId="0" borderId="0" xfId="1" applyNumberFormat="1" applyFont="1"/>
    <xf numFmtId="165" fontId="8" fillId="0" borderId="0" xfId="1" applyNumberFormat="1" applyFont="1"/>
    <xf numFmtId="165" fontId="8" fillId="0" borderId="0" xfId="1" applyNumberFormat="1" applyFont="1" applyAlignment="1">
      <alignment horizontal="center"/>
    </xf>
    <xf numFmtId="43" fontId="7" fillId="0" borderId="0" xfId="1" applyFont="1" applyBorder="1" applyProtection="1">
      <protection hidden="1"/>
    </xf>
    <xf numFmtId="0" fontId="18" fillId="0" borderId="0" xfId="0" applyFont="1"/>
    <xf numFmtId="0" fontId="4" fillId="0" borderId="0" xfId="0" quotePrefix="1" applyFont="1"/>
    <xf numFmtId="0" fontId="4" fillId="2" borderId="0" xfId="0" applyFont="1" applyFill="1" applyProtection="1">
      <protection hidden="1"/>
    </xf>
    <xf numFmtId="43" fontId="6" fillId="4" borderId="8" xfId="1" applyFont="1" applyFill="1" applyBorder="1" applyProtection="1">
      <protection locked="0" hidden="1"/>
    </xf>
    <xf numFmtId="166" fontId="4" fillId="3" borderId="8" xfId="1" applyNumberFormat="1" applyFont="1" applyFill="1" applyBorder="1" applyProtection="1">
      <protection hidden="1"/>
    </xf>
    <xf numFmtId="0" fontId="4" fillId="3" borderId="10" xfId="0" applyFont="1" applyFill="1" applyBorder="1" applyAlignment="1" applyProtection="1">
      <alignment horizontal="center"/>
      <protection hidden="1"/>
    </xf>
    <xf numFmtId="9" fontId="4" fillId="3" borderId="8" xfId="1" applyNumberFormat="1" applyFont="1" applyFill="1" applyBorder="1" applyProtection="1">
      <protection hidden="1"/>
    </xf>
    <xf numFmtId="43" fontId="6" fillId="0" borderId="0" xfId="1" applyFont="1"/>
    <xf numFmtId="0" fontId="19" fillId="0" borderId="0" xfId="0" applyFont="1"/>
    <xf numFmtId="43" fontId="19" fillId="0" borderId="0" xfId="1" applyFont="1"/>
    <xf numFmtId="9" fontId="4" fillId="3" borderId="8" xfId="0" applyNumberFormat="1" applyFont="1" applyFill="1" applyBorder="1" applyProtection="1">
      <protection hidden="1"/>
    </xf>
    <xf numFmtId="0" fontId="20" fillId="0" borderId="0" xfId="0" applyFont="1"/>
    <xf numFmtId="43" fontId="20" fillId="0" borderId="0" xfId="1" applyFont="1"/>
    <xf numFmtId="43" fontId="20" fillId="0" borderId="0" xfId="0" applyNumberFormat="1" applyFont="1"/>
    <xf numFmtId="43" fontId="8" fillId="0" borderId="0" xfId="1" quotePrefix="1" applyFont="1"/>
    <xf numFmtId="0" fontId="8" fillId="0" borderId="0" xfId="1" applyNumberFormat="1" applyFont="1" applyBorder="1"/>
    <xf numFmtId="43" fontId="8" fillId="0" borderId="0" xfId="1" applyFont="1" applyBorder="1"/>
    <xf numFmtId="0" fontId="8" fillId="0" borderId="1" xfId="0" applyFont="1" applyBorder="1" applyAlignment="1">
      <alignment wrapText="1"/>
    </xf>
    <xf numFmtId="0" fontId="8" fillId="0" borderId="1" xfId="1" applyNumberFormat="1" applyFont="1" applyBorder="1" applyAlignment="1">
      <alignment wrapText="1"/>
    </xf>
    <xf numFmtId="43" fontId="8" fillId="0" borderId="1" xfId="1" applyFont="1" applyBorder="1" applyAlignment="1">
      <alignment wrapText="1"/>
    </xf>
    <xf numFmtId="165" fontId="8" fillId="0" borderId="0" xfId="0" applyNumberFormat="1" applyFont="1"/>
    <xf numFmtId="0" fontId="10" fillId="0" borderId="0" xfId="0" applyFont="1"/>
    <xf numFmtId="43" fontId="6" fillId="0" borderId="0" xfId="1" quotePrefix="1" applyFont="1"/>
    <xf numFmtId="43" fontId="7" fillId="0" borderId="0" xfId="1" applyFont="1" applyAlignment="1"/>
    <xf numFmtId="169" fontId="8" fillId="0" borderId="0" xfId="1" applyNumberFormat="1" applyFont="1"/>
    <xf numFmtId="169" fontId="8" fillId="0" borderId="0" xfId="1" applyNumberFormat="1" applyFont="1" applyAlignment="1">
      <alignment horizontal="center"/>
    </xf>
    <xf numFmtId="169" fontId="8" fillId="0" borderId="0" xfId="0" applyNumberFormat="1" applyFont="1"/>
    <xf numFmtId="0" fontId="24" fillId="0" borderId="0" xfId="3" applyFont="1" applyAlignment="1" applyProtection="1"/>
    <xf numFmtId="0" fontId="8" fillId="5" borderId="0" xfId="0" applyFont="1" applyFill="1"/>
    <xf numFmtId="43" fontId="8" fillId="5" borderId="0" xfId="0" applyNumberFormat="1" applyFont="1" applyFill="1"/>
    <xf numFmtId="165" fontId="8" fillId="5" borderId="0" xfId="0" applyNumberFormat="1" applyFont="1" applyFill="1"/>
    <xf numFmtId="169" fontId="8" fillId="5" borderId="0" xfId="0" applyNumberFormat="1" applyFont="1" applyFill="1"/>
    <xf numFmtId="0" fontId="10" fillId="5" borderId="0" xfId="0" applyFont="1" applyFill="1"/>
    <xf numFmtId="0" fontId="0" fillId="5" borderId="0" xfId="0" applyFill="1"/>
    <xf numFmtId="9" fontId="8" fillId="0" borderId="0" xfId="0" applyNumberFormat="1" applyFont="1"/>
    <xf numFmtId="0" fontId="25" fillId="0" borderId="0" xfId="0" applyFont="1"/>
    <xf numFmtId="2" fontId="4" fillId="0" borderId="0" xfId="0" applyNumberFormat="1" applyFont="1" applyAlignment="1" applyProtection="1">
      <alignment horizontal="right"/>
      <protection hidden="1"/>
    </xf>
    <xf numFmtId="8" fontId="4" fillId="0" borderId="8" xfId="1" applyNumberFormat="1" applyFont="1" applyBorder="1" applyProtection="1">
      <protection hidden="1"/>
    </xf>
    <xf numFmtId="43" fontId="19" fillId="0" borderId="0" xfId="1" quotePrefix="1" applyFont="1"/>
    <xf numFmtId="0" fontId="26" fillId="0" borderId="0" xfId="0" applyFont="1"/>
    <xf numFmtId="0" fontId="2" fillId="0" borderId="0" xfId="0" applyFont="1"/>
    <xf numFmtId="43" fontId="0" fillId="0" borderId="0" xfId="1" applyFont="1"/>
    <xf numFmtId="0" fontId="4" fillId="0" borderId="0" xfId="0" applyFont="1" applyAlignment="1" applyProtection="1">
      <alignment horizontal="center" wrapText="1"/>
      <protection hidden="1"/>
    </xf>
    <xf numFmtId="0" fontId="4" fillId="0" borderId="4" xfId="0" applyFont="1" applyBorder="1" applyAlignment="1" applyProtection="1">
      <alignment horizontal="center"/>
      <protection hidden="1"/>
    </xf>
    <xf numFmtId="165" fontId="4" fillId="0" borderId="8" xfId="1" applyNumberFormat="1" applyFont="1" applyBorder="1" applyProtection="1">
      <protection hidden="1"/>
    </xf>
    <xf numFmtId="43" fontId="4" fillId="0" borderId="0" xfId="1" quotePrefix="1" applyFont="1" applyProtection="1"/>
    <xf numFmtId="165" fontId="4" fillId="0" borderId="0" xfId="1" quotePrefix="1" applyNumberFormat="1" applyFont="1" applyProtection="1"/>
    <xf numFmtId="43" fontId="4" fillId="0" borderId="8" xfId="1" quotePrefix="1" applyFont="1" applyBorder="1" applyProtection="1">
      <protection hidden="1"/>
    </xf>
    <xf numFmtId="8" fontId="4" fillId="3" borderId="8" xfId="1" applyNumberFormat="1" applyFont="1" applyFill="1" applyBorder="1" applyProtection="1">
      <protection hidden="1"/>
    </xf>
    <xf numFmtId="0" fontId="7" fillId="0" borderId="3" xfId="0" applyFont="1" applyBorder="1" applyProtection="1">
      <protection hidden="1"/>
    </xf>
    <xf numFmtId="165" fontId="4" fillId="3" borderId="8" xfId="1" applyNumberFormat="1" applyFont="1" applyFill="1" applyBorder="1" applyProtection="1">
      <protection hidden="1"/>
    </xf>
    <xf numFmtId="43" fontId="4" fillId="0" borderId="0" xfId="1" applyFont="1" applyBorder="1" applyAlignment="1" applyProtection="1">
      <alignment horizontal="right"/>
      <protection hidden="1"/>
    </xf>
    <xf numFmtId="166" fontId="8" fillId="0" borderId="0" xfId="0" applyNumberFormat="1" applyFont="1"/>
    <xf numFmtId="49" fontId="3" fillId="0" borderId="0" xfId="0" applyNumberFormat="1" applyFont="1" applyAlignment="1">
      <alignment horizontal="right"/>
    </xf>
    <xf numFmtId="43" fontId="8" fillId="0" borderId="0" xfId="1" applyFont="1" applyAlignment="1" applyProtection="1">
      <alignment horizontal="center" wrapText="1"/>
      <protection hidden="1"/>
    </xf>
    <xf numFmtId="43" fontId="4" fillId="0" borderId="9" xfId="1" applyFont="1" applyBorder="1"/>
    <xf numFmtId="43" fontId="4" fillId="3" borderId="8" xfId="1" applyFont="1" applyFill="1" applyBorder="1" applyProtection="1">
      <protection hidden="1"/>
    </xf>
    <xf numFmtId="0" fontId="0" fillId="6" borderId="0" xfId="0" applyFill="1"/>
    <xf numFmtId="43" fontId="0" fillId="6" borderId="0" xfId="1" applyFont="1" applyFill="1"/>
    <xf numFmtId="39" fontId="8" fillId="0" borderId="0" xfId="1" applyNumberFormat="1" applyFont="1"/>
    <xf numFmtId="43" fontId="4" fillId="0" borderId="0" xfId="1" quotePrefix="1" applyFont="1"/>
    <xf numFmtId="8" fontId="4" fillId="0" borderId="0" xfId="0" applyNumberFormat="1" applyFont="1"/>
    <xf numFmtId="167" fontId="8" fillId="0" borderId="0" xfId="1" applyNumberFormat="1" applyFont="1"/>
    <xf numFmtId="168" fontId="8" fillId="0" borderId="0" xfId="0" applyNumberFormat="1" applyFont="1"/>
    <xf numFmtId="168" fontId="8" fillId="5" borderId="0" xfId="0" applyNumberFormat="1" applyFont="1" applyFill="1"/>
    <xf numFmtId="43" fontId="11" fillId="0" borderId="0" xfId="1" applyFont="1" applyFill="1" applyAlignment="1">
      <alignment wrapText="1"/>
    </xf>
    <xf numFmtId="9" fontId="4" fillId="3" borderId="13" xfId="0" applyNumberFormat="1" applyFont="1" applyFill="1" applyBorder="1" applyProtection="1">
      <protection hidden="1"/>
    </xf>
    <xf numFmtId="9" fontId="4" fillId="0" borderId="0" xfId="1" applyNumberFormat="1" applyFont="1" applyBorder="1" applyAlignment="1" applyProtection="1">
      <alignment horizontal="center" wrapText="1"/>
      <protection hidden="1"/>
    </xf>
    <xf numFmtId="10" fontId="4" fillId="3" borderId="14" xfId="0" applyNumberFormat="1" applyFont="1" applyFill="1" applyBorder="1" applyProtection="1">
      <protection hidden="1"/>
    </xf>
    <xf numFmtId="43" fontId="4" fillId="3" borderId="14" xfId="1" applyFont="1" applyFill="1" applyBorder="1" applyProtection="1">
      <protection hidden="1"/>
    </xf>
    <xf numFmtId="8" fontId="4" fillId="0" borderId="0" xfId="1" applyNumberFormat="1" applyFont="1" applyBorder="1" applyProtection="1">
      <protection hidden="1"/>
    </xf>
    <xf numFmtId="9" fontId="4" fillId="0" borderId="0" xfId="1" applyNumberFormat="1" applyFont="1" applyFill="1" applyBorder="1" applyProtection="1">
      <protection hidden="1"/>
    </xf>
    <xf numFmtId="43" fontId="4" fillId="0" borderId="8" xfId="0" applyNumberFormat="1" applyFont="1" applyBorder="1" applyProtection="1">
      <protection hidden="1"/>
    </xf>
    <xf numFmtId="43" fontId="4" fillId="0" borderId="0" xfId="1" applyFont="1" applyFill="1" applyBorder="1" applyProtection="1">
      <protection hidden="1"/>
    </xf>
    <xf numFmtId="43" fontId="7" fillId="0" borderId="0" xfId="1" applyFont="1" applyFill="1" applyAlignment="1">
      <alignment wrapText="1"/>
    </xf>
    <xf numFmtId="43" fontId="17" fillId="0" borderId="0" xfId="1" applyFont="1" applyFill="1" applyAlignment="1">
      <alignment wrapText="1"/>
    </xf>
    <xf numFmtId="43" fontId="19" fillId="0" borderId="0" xfId="1" applyFont="1" applyFill="1" applyAlignment="1">
      <alignment wrapText="1"/>
    </xf>
    <xf numFmtId="43" fontId="6" fillId="0" borderId="0" xfId="1" applyFont="1" applyFill="1" applyAlignment="1">
      <alignment wrapText="1"/>
    </xf>
    <xf numFmtId="9" fontId="4" fillId="0" borderId="0" xfId="2" applyFont="1" applyProtection="1"/>
    <xf numFmtId="0" fontId="8" fillId="0" borderId="0" xfId="1" applyNumberFormat="1" applyFont="1" applyFill="1"/>
    <xf numFmtId="43" fontId="8" fillId="0" borderId="0" xfId="1" applyFont="1" applyFill="1"/>
    <xf numFmtId="43" fontId="11" fillId="0" borderId="0" xfId="1" applyFont="1" applyFill="1"/>
    <xf numFmtId="43" fontId="19" fillId="0" borderId="0" xfId="1" applyFont="1" applyFill="1"/>
    <xf numFmtId="43" fontId="6" fillId="0" borderId="0" xfId="1" applyFont="1" applyFill="1"/>
    <xf numFmtId="43" fontId="6" fillId="0" borderId="0" xfId="1" quotePrefix="1" applyFont="1" applyFill="1"/>
    <xf numFmtId="0" fontId="30" fillId="0" borderId="0" xfId="0" applyFont="1"/>
    <xf numFmtId="0" fontId="30" fillId="0" borderId="0" xfId="1" applyNumberFormat="1" applyFont="1" applyFill="1"/>
    <xf numFmtId="43" fontId="30" fillId="0" borderId="0" xfId="1" applyFont="1" applyFill="1"/>
    <xf numFmtId="43" fontId="8" fillId="0" borderId="0" xfId="1" quotePrefix="1" applyFont="1" applyFill="1"/>
    <xf numFmtId="0" fontId="4" fillId="0" borderId="0" xfId="1" applyNumberFormat="1" applyFont="1" applyFill="1"/>
    <xf numFmtId="43" fontId="4" fillId="0" borderId="0" xfId="1" applyFont="1" applyFill="1"/>
    <xf numFmtId="167" fontId="4" fillId="0" borderId="8" xfId="1" quotePrefix="1" applyNumberFormat="1" applyFont="1" applyBorder="1" applyProtection="1">
      <protection hidden="1"/>
    </xf>
    <xf numFmtId="168" fontId="4" fillId="0" borderId="0" xfId="0" applyNumberFormat="1" applyFont="1"/>
    <xf numFmtId="0" fontId="8" fillId="0" borderId="0" xfId="1" applyNumberFormat="1" applyFont="1" applyFill="1" applyBorder="1"/>
    <xf numFmtId="43" fontId="4" fillId="0" borderId="0" xfId="1" applyFont="1" applyFill="1" applyBorder="1"/>
    <xf numFmtId="43" fontId="11" fillId="0" borderId="0" xfId="1" applyFont="1" applyFill="1" applyBorder="1"/>
    <xf numFmtId="43" fontId="19" fillId="0" borderId="0" xfId="1" applyFont="1" applyFill="1" applyBorder="1"/>
    <xf numFmtId="43" fontId="6" fillId="0" borderId="0" xfId="1" applyFont="1" applyFill="1" applyBorder="1"/>
    <xf numFmtId="43" fontId="6" fillId="0" borderId="0" xfId="1" quotePrefix="1" applyFont="1" applyFill="1" applyBorder="1"/>
    <xf numFmtId="43" fontId="11" fillId="7" borderId="0" xfId="1" applyFont="1" applyFill="1"/>
    <xf numFmtId="0" fontId="10" fillId="7" borderId="0" xfId="0" applyFont="1" applyFill="1"/>
    <xf numFmtId="43" fontId="8" fillId="7" borderId="0" xfId="0" applyNumberFormat="1" applyFont="1" applyFill="1"/>
    <xf numFmtId="43" fontId="19" fillId="7" borderId="0" xfId="1" applyFont="1" applyFill="1"/>
    <xf numFmtId="43" fontId="6" fillId="7" borderId="0" xfId="1" applyFont="1" applyFill="1"/>
    <xf numFmtId="43" fontId="6" fillId="7" borderId="0" xfId="1" quotePrefix="1" applyFont="1" applyFill="1"/>
    <xf numFmtId="0" fontId="8" fillId="7" borderId="0" xfId="0" applyFont="1" applyFill="1"/>
    <xf numFmtId="43" fontId="4" fillId="0" borderId="0" xfId="1" applyFont="1" applyBorder="1" applyProtection="1"/>
    <xf numFmtId="43" fontId="4" fillId="5" borderId="0" xfId="0" applyNumberFormat="1" applyFont="1" applyFill="1"/>
    <xf numFmtId="170" fontId="4" fillId="0" borderId="0" xfId="0" applyNumberFormat="1" applyFont="1"/>
    <xf numFmtId="9" fontId="4" fillId="0" borderId="0" xfId="2" applyFont="1" applyBorder="1" applyProtection="1">
      <protection hidden="1"/>
    </xf>
    <xf numFmtId="0" fontId="4" fillId="8" borderId="0" xfId="0" applyFont="1" applyFill="1"/>
    <xf numFmtId="0" fontId="8" fillId="8" borderId="0" xfId="1" applyNumberFormat="1" applyFont="1" applyFill="1"/>
    <xf numFmtId="43" fontId="4" fillId="8" borderId="0" xfId="1" applyFont="1" applyFill="1"/>
    <xf numFmtId="43" fontId="11" fillId="8" borderId="0" xfId="1" applyFont="1" applyFill="1"/>
    <xf numFmtId="0" fontId="10" fillId="8" borderId="0" xfId="0" applyFont="1" applyFill="1"/>
    <xf numFmtId="43" fontId="8" fillId="8" borderId="0" xfId="0" applyNumberFormat="1" applyFont="1" applyFill="1"/>
    <xf numFmtId="43" fontId="19" fillId="8" borderId="0" xfId="1" applyFont="1" applyFill="1"/>
    <xf numFmtId="43" fontId="6" fillId="8" borderId="0" xfId="1" applyFont="1" applyFill="1"/>
    <xf numFmtId="43" fontId="6" fillId="8" borderId="0" xfId="1" quotePrefix="1" applyFont="1" applyFill="1"/>
    <xf numFmtId="0" fontId="8" fillId="8" borderId="0" xfId="0" applyFont="1" applyFill="1"/>
    <xf numFmtId="168" fontId="11" fillId="0" borderId="0" xfId="1" applyNumberFormat="1" applyFont="1"/>
    <xf numFmtId="39" fontId="8" fillId="0" borderId="0" xfId="0" applyNumberFormat="1" applyFont="1"/>
    <xf numFmtId="43" fontId="4" fillId="0" borderId="0" xfId="1" applyFont="1" applyProtection="1"/>
    <xf numFmtId="43" fontId="19" fillId="0" borderId="0" xfId="1" quotePrefix="1" applyFont="1" applyFill="1"/>
    <xf numFmtId="167" fontId="4" fillId="0" borderId="0" xfId="0" applyNumberFormat="1" applyFont="1"/>
    <xf numFmtId="171" fontId="4" fillId="0" borderId="0" xfId="0" applyNumberFormat="1" applyFont="1"/>
    <xf numFmtId="172" fontId="4" fillId="0" borderId="0" xfId="1" applyNumberFormat="1" applyFont="1" applyProtection="1"/>
    <xf numFmtId="43" fontId="4" fillId="0" borderId="15" xfId="0" applyNumberFormat="1" applyFont="1" applyBorder="1"/>
    <xf numFmtId="43" fontId="4" fillId="0" borderId="16" xfId="0" applyNumberFormat="1" applyFont="1" applyBorder="1"/>
    <xf numFmtId="43" fontId="4" fillId="0" borderId="17" xfId="0" applyNumberFormat="1" applyFont="1" applyBorder="1"/>
    <xf numFmtId="43" fontId="29" fillId="0" borderId="0" xfId="1" applyFont="1" applyFill="1" applyAlignment="1">
      <alignment wrapText="1"/>
    </xf>
    <xf numFmtId="43" fontId="4" fillId="0" borderId="17" xfId="1" applyFont="1" applyBorder="1"/>
    <xf numFmtId="0" fontId="0" fillId="0" borderId="0" xfId="0" applyAlignment="1">
      <alignment horizontal="left"/>
    </xf>
    <xf numFmtId="167" fontId="6" fillId="0" borderId="0" xfId="1" applyNumberFormat="1" applyFont="1" applyFill="1"/>
    <xf numFmtId="0" fontId="4" fillId="7" borderId="0" xfId="0" applyFont="1" applyFill="1"/>
    <xf numFmtId="43" fontId="4" fillId="7" borderId="0" xfId="1" applyFont="1" applyFill="1"/>
    <xf numFmtId="173" fontId="4" fillId="3" borderId="8" xfId="1" applyNumberFormat="1" applyFont="1" applyFill="1" applyBorder="1" applyProtection="1">
      <protection hidden="1"/>
    </xf>
    <xf numFmtId="165" fontId="7" fillId="0" borderId="0" xfId="1" applyNumberFormat="1" applyFont="1" applyFill="1" applyAlignment="1">
      <alignment wrapText="1"/>
    </xf>
    <xf numFmtId="166" fontId="4" fillId="0" borderId="0" xfId="1" applyNumberFormat="1" applyFont="1" applyFill="1" applyBorder="1" applyProtection="1">
      <protection hidden="1"/>
    </xf>
    <xf numFmtId="0" fontId="4" fillId="7" borderId="0" xfId="0" applyFont="1" applyFill="1" applyProtection="1">
      <protection hidden="1"/>
    </xf>
    <xf numFmtId="43" fontId="31" fillId="4" borderId="8" xfId="1" applyFont="1" applyFill="1" applyBorder="1" applyProtection="1">
      <protection locked="0" hidden="1"/>
    </xf>
    <xf numFmtId="0" fontId="0" fillId="9" borderId="0" xfId="0" applyFill="1"/>
    <xf numFmtId="0" fontId="26" fillId="9" borderId="0" xfId="0" applyFont="1" applyFill="1"/>
    <xf numFmtId="0" fontId="0" fillId="10" borderId="0" xfId="0" applyFill="1"/>
    <xf numFmtId="0" fontId="2" fillId="10" borderId="0" xfId="0" applyFont="1" applyFill="1"/>
    <xf numFmtId="0" fontId="4" fillId="7" borderId="1" xfId="0" applyFont="1" applyFill="1" applyBorder="1"/>
    <xf numFmtId="43" fontId="4" fillId="7" borderId="1" xfId="1" applyFont="1" applyFill="1" applyBorder="1"/>
    <xf numFmtId="43" fontId="4" fillId="7" borderId="18" xfId="1" applyFont="1" applyFill="1" applyBorder="1"/>
    <xf numFmtId="43" fontId="4" fillId="7" borderId="0" xfId="1" applyFont="1" applyFill="1" applyBorder="1"/>
    <xf numFmtId="43" fontId="4" fillId="7" borderId="16" xfId="1" applyFont="1" applyFill="1" applyBorder="1"/>
    <xf numFmtId="43" fontId="4" fillId="7" borderId="0" xfId="0" applyNumberFormat="1" applyFont="1" applyFill="1"/>
    <xf numFmtId="43" fontId="4" fillId="0" borderId="8" xfId="1" applyFont="1" applyFill="1" applyBorder="1" applyProtection="1">
      <protection hidden="1"/>
    </xf>
    <xf numFmtId="43" fontId="20" fillId="0" borderId="0" xfId="1" applyFont="1" applyFill="1"/>
    <xf numFmtId="0" fontId="4" fillId="11" borderId="0" xfId="0" applyFont="1" applyFill="1"/>
    <xf numFmtId="0" fontId="8" fillId="11" borderId="0" xfId="1" applyNumberFormat="1" applyFont="1" applyFill="1"/>
    <xf numFmtId="43" fontId="8" fillId="11" borderId="0" xfId="1" applyFont="1" applyFill="1"/>
    <xf numFmtId="43" fontId="4" fillId="11" borderId="0" xfId="1" applyFont="1" applyFill="1"/>
    <xf numFmtId="43" fontId="11" fillId="11" borderId="0" xfId="1" applyFont="1" applyFill="1"/>
    <xf numFmtId="0" fontId="10" fillId="11" borderId="0" xfId="0" applyFont="1" applyFill="1"/>
    <xf numFmtId="43" fontId="8" fillId="11" borderId="0" xfId="0" applyNumberFormat="1" applyFont="1" applyFill="1"/>
    <xf numFmtId="43" fontId="19" fillId="11" borderId="0" xfId="1" applyFont="1" applyFill="1"/>
    <xf numFmtId="43" fontId="19" fillId="11" borderId="0" xfId="1" quotePrefix="1" applyFont="1" applyFill="1"/>
    <xf numFmtId="43" fontId="6" fillId="11" borderId="0" xfId="1" applyFont="1" applyFill="1"/>
    <xf numFmtId="167" fontId="6" fillId="11" borderId="0" xfId="1" applyNumberFormat="1" applyFont="1" applyFill="1"/>
    <xf numFmtId="43" fontId="6" fillId="11" borderId="0" xfId="1" quotePrefix="1" applyFont="1" applyFill="1"/>
    <xf numFmtId="43" fontId="20" fillId="11" borderId="0" xfId="1" applyFont="1" applyFill="1"/>
    <xf numFmtId="0" fontId="8" fillId="11" borderId="0" xfId="0" applyFont="1" applyFill="1"/>
    <xf numFmtId="0" fontId="10" fillId="0" borderId="0" xfId="0" applyFont="1" applyAlignment="1">
      <alignment wrapText="1"/>
    </xf>
    <xf numFmtId="0" fontId="20" fillId="0" borderId="0" xfId="0" applyFont="1" applyAlignment="1" applyProtection="1">
      <alignment horizontal="left" wrapText="1"/>
      <protection hidden="1"/>
    </xf>
    <xf numFmtId="43" fontId="7" fillId="4" borderId="0" xfId="1" applyFont="1" applyFill="1" applyAlignment="1">
      <alignment wrapText="1"/>
    </xf>
    <xf numFmtId="0" fontId="7" fillId="4" borderId="0" xfId="1" applyNumberFormat="1" applyFont="1" applyFill="1" applyAlignment="1">
      <alignment wrapText="1"/>
    </xf>
    <xf numFmtId="43" fontId="4" fillId="12" borderId="0" xfId="1" applyFont="1" applyFill="1"/>
    <xf numFmtId="165" fontId="7" fillId="4" borderId="0" xfId="1" applyNumberFormat="1" applyFont="1" applyFill="1" applyAlignment="1">
      <alignment wrapText="1"/>
    </xf>
    <xf numFmtId="43" fontId="7" fillId="12" borderId="0" xfId="1" applyFont="1" applyFill="1" applyAlignment="1">
      <alignment wrapText="1"/>
    </xf>
    <xf numFmtId="164" fontId="7" fillId="0" borderId="1" xfId="1" applyNumberFormat="1" applyFont="1" applyFill="1" applyBorder="1" applyProtection="1">
      <protection hidden="1"/>
    </xf>
    <xf numFmtId="17" fontId="3" fillId="7" borderId="19" xfId="1" applyNumberFormat="1" applyFont="1" applyFill="1" applyBorder="1" applyAlignment="1" applyProtection="1">
      <alignment horizontal="center"/>
      <protection locked="0" hidden="1"/>
    </xf>
    <xf numFmtId="0" fontId="7" fillId="0" borderId="0" xfId="0" applyFont="1" applyAlignment="1">
      <alignment horizontal="center"/>
    </xf>
  </cellXfs>
  <cellStyles count="8">
    <cellStyle name="Comma" xfId="1" builtinId="3"/>
    <cellStyle name="Comma 2" xfId="6" xr:uid="{00000000-0005-0000-0000-000001000000}"/>
    <cellStyle name="Comma 3" xfId="5" xr:uid="{00000000-0005-0000-0000-000002000000}"/>
    <cellStyle name="Hyperlink" xfId="3" builtinId="8"/>
    <cellStyle name="Normal" xfId="0" builtinId="0"/>
    <cellStyle name="Normal 2" xfId="7" xr:uid="{00000000-0005-0000-0000-000005000000}"/>
    <cellStyle name="Normal 3" xfId="4" xr:uid="{00000000-0005-0000-0000-000006000000}"/>
    <cellStyle name="Percent" xfId="2" builtinId="5"/>
  </cellStyles>
  <dxfs count="0"/>
  <tableStyles count="0" defaultTableStyle="TableStyleMedium9" defaultPivotStyle="PivotStyleLight16"/>
  <colors>
    <mruColors>
      <color rgb="FF2DA12D"/>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681990</xdr:colOff>
      <xdr:row>3</xdr:row>
      <xdr:rowOff>56737</xdr:rowOff>
    </xdr:to>
    <xdr:pic>
      <xdr:nvPicPr>
        <xdr:cNvPr id="3" name="Picture 2">
          <a:extLst>
            <a:ext uri="{FF2B5EF4-FFF2-40B4-BE49-F238E27FC236}">
              <a16:creationId xmlns:a16="http://schemas.microsoft.com/office/drawing/2014/main" id="{3E8BBD95-A65E-4330-AB87-1F411DE1DE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862965" cy="5272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161925</xdr:colOff>
      <xdr:row>0</xdr:row>
      <xdr:rowOff>0</xdr:rowOff>
    </xdr:from>
    <xdr:to>
      <xdr:col>1</xdr:col>
      <xdr:colOff>224790</xdr:colOff>
      <xdr:row>3</xdr:row>
      <xdr:rowOff>98767</xdr:rowOff>
    </xdr:to>
    <xdr:pic>
      <xdr:nvPicPr>
        <xdr:cNvPr id="3" name="Picture 2">
          <a:extLst>
            <a:ext uri="{FF2B5EF4-FFF2-40B4-BE49-F238E27FC236}">
              <a16:creationId xmlns:a16="http://schemas.microsoft.com/office/drawing/2014/main" id="{DBA82A18-0642-43AD-B043-E02D83E593B4}"/>
            </a:ext>
          </a:extLst>
        </xdr:cNvPr>
        <xdr:cNvPicPr>
          <a:picLocks noChangeAspect="1"/>
        </xdr:cNvPicPr>
      </xdr:nvPicPr>
      <xdr:blipFill>
        <a:blip xmlns:r="http://schemas.openxmlformats.org/officeDocument/2006/relationships" r:embed="rId1"/>
        <a:stretch>
          <a:fillRect/>
        </a:stretch>
      </xdr:blipFill>
      <xdr:spPr>
        <a:xfrm>
          <a:off x="161925" y="0"/>
          <a:ext cx="466725" cy="595972"/>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Query from Excel" adjustColumnWidth="0" connectionId="1" xr16:uid="{00000000-0016-0000-0100-000000000000}" autoFormatId="16" applyNumberFormats="0" applyBorderFormats="0" applyFontFormats="1" applyPatternFormats="1" applyAlignmentFormats="0" applyWidthHeightFormats="0">
  <queryTableRefresh nextId="9">
    <queryTableFields count="7">
      <queryTableField id="1" name="Pmt Line"/>
      <queryTableField id="2" name="Adj Code"/>
      <queryTableField id="3" name="Description"/>
      <queryTableField id="4" name="Date"/>
      <queryTableField id="5" name="Acct Code"/>
      <queryTableField id="6" name="Adj Amount"/>
      <queryTableField id="7" name="Comment"/>
    </queryTableFields>
  </queryTableRefresh>
</query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queryTable" Target="../queryTables/query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AppData/Roaming/Microsoft/Extracts/Fnd%20Aid%20ADM%202016.xls" TargetMode="External"/><Relationship Id="rId3" Type="http://schemas.openxmlformats.org/officeDocument/2006/relationships/hyperlink" Target="../../../AppData/Roaming/Microsoft/Extracts/Transportation%202016.xls" TargetMode="External"/><Relationship Id="rId7" Type="http://schemas.openxmlformats.org/officeDocument/2006/relationships/hyperlink" Target="../../../AppData/Roaming/Microsoft/Extracts/FinanceData%202016.xls" TargetMode="External"/><Relationship Id="rId12" Type="http://schemas.openxmlformats.org/officeDocument/2006/relationships/printerSettings" Target="../printerSettings/printerSettings4.bin"/><Relationship Id="rId2" Type="http://schemas.openxmlformats.org/officeDocument/2006/relationships/hyperlink" Target="../../../AppData/Roaming/Microsoft/Extracts/Fnd%20Aid%20ADM%202016.xls" TargetMode="External"/><Relationship Id="rId1" Type="http://schemas.openxmlformats.org/officeDocument/2006/relationships/hyperlink" Target="../../../AppData/Roaming/Microsoft/Extracts/FinanceData%202016.xls" TargetMode="External"/><Relationship Id="rId6" Type="http://schemas.openxmlformats.org/officeDocument/2006/relationships/hyperlink" Target="../../../AppData/Roaming/Microsoft/Adjustments/Baseline/State%20School%20Aid%20Baseline%202014-15.xlsx" TargetMode="External"/><Relationship Id="rId11" Type="http://schemas.openxmlformats.org/officeDocument/2006/relationships/hyperlink" Target="../../../AppData/Roaming/Microsoft/Adjustments/Baseline/State%20School%20Aid%20Baseline%202014-15.xlsx" TargetMode="External"/><Relationship Id="rId5" Type="http://schemas.openxmlformats.org/officeDocument/2006/relationships/hyperlink" Target="../../../AppData/Roaming/Microsoft/Extracts/ELL%202016.xlsm" TargetMode="External"/><Relationship Id="rId10" Type="http://schemas.openxmlformats.org/officeDocument/2006/relationships/hyperlink" Target="../../../AppData/Roaming/Microsoft/Extracts/Fnd%20Aid%20ADM%202016.xls" TargetMode="External"/><Relationship Id="rId4" Type="http://schemas.openxmlformats.org/officeDocument/2006/relationships/hyperlink" Target="../../../AppData/Roaming/Microsoft/Extracts/TCost90%202016.xls" TargetMode="External"/><Relationship Id="rId9" Type="http://schemas.openxmlformats.org/officeDocument/2006/relationships/hyperlink" Target="../../../AppData/Roaming/Microsoft/Extracts/Fnd%20Aid%20ADM%202016.xls"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42"/>
  <sheetViews>
    <sheetView tabSelected="1" zoomScaleNormal="100" workbookViewId="0">
      <pane ySplit="7" topLeftCell="A8" activePane="bottomLeft" state="frozen"/>
      <selection activeCell="K24" sqref="K24"/>
      <selection pane="bottomLeft" activeCell="C28" sqref="C28"/>
    </sheetView>
  </sheetViews>
  <sheetFormatPr defaultColWidth="9.109375" defaultRowHeight="10.199999999999999" x14ac:dyDescent="0.2"/>
  <cols>
    <col min="1" max="1" width="3.44140625" style="16" customWidth="1"/>
    <col min="2" max="2" width="34.5546875" style="16" customWidth="1"/>
    <col min="3" max="3" width="12.6640625" style="16" customWidth="1"/>
    <col min="4" max="4" width="12.88671875" style="16" customWidth="1"/>
    <col min="5" max="5" width="13.44140625" style="16" customWidth="1"/>
    <col min="6" max="6" width="13.6640625" style="16" bestFit="1" customWidth="1"/>
    <col min="7" max="7" width="14" style="4" customWidth="1"/>
    <col min="8" max="8" width="11.5546875" style="4" customWidth="1"/>
    <col min="9" max="9" width="14.5546875" style="4" customWidth="1"/>
    <col min="10" max="10" width="11.109375" style="4" bestFit="1" customWidth="1"/>
    <col min="11" max="11" width="12" style="4" bestFit="1" customWidth="1"/>
    <col min="12" max="16384" width="9.109375" style="4"/>
  </cols>
  <sheetData>
    <row r="1" spans="1:6" ht="15.6" x14ac:dyDescent="0.3">
      <c r="A1"/>
      <c r="B1" s="97" t="s">
        <v>774</v>
      </c>
    </row>
    <row r="2" spans="1:6" x14ac:dyDescent="0.2">
      <c r="B2" s="98" t="s">
        <v>204</v>
      </c>
    </row>
    <row r="3" spans="1:6" x14ac:dyDescent="0.2">
      <c r="B3" s="98" t="s">
        <v>1116</v>
      </c>
    </row>
    <row r="4" spans="1:6" x14ac:dyDescent="0.2">
      <c r="B4" s="51"/>
    </row>
    <row r="6" spans="1:6" ht="10.8" thickBot="1" x14ac:dyDescent="0.25">
      <c r="A6" s="17"/>
      <c r="B6" s="18" t="s">
        <v>205</v>
      </c>
      <c r="C6" s="18" t="s">
        <v>214</v>
      </c>
      <c r="D6" s="18"/>
      <c r="E6" s="18" t="s">
        <v>230</v>
      </c>
      <c r="F6" s="152" t="s">
        <v>206</v>
      </c>
    </row>
    <row r="7" spans="1:6" ht="11.25" customHeight="1" thickBot="1" x14ac:dyDescent="0.25">
      <c r="A7" s="19"/>
      <c r="B7" s="35" t="e">
        <f>Dname</f>
        <v>#N/A</v>
      </c>
      <c r="C7" s="284"/>
      <c r="D7" s="20"/>
      <c r="E7" s="46" t="s">
        <v>1185</v>
      </c>
      <c r="F7" s="114" t="str">
        <f>SchoolYear-1&amp;"-"&amp;SchoolYear</f>
        <v>2026-2027</v>
      </c>
    </row>
    <row r="8" spans="1:6" ht="11.25" customHeight="1" x14ac:dyDescent="0.2">
      <c r="A8" s="21"/>
      <c r="B8" s="22"/>
      <c r="C8" s="283"/>
      <c r="D8" s="23"/>
      <c r="E8" s="23"/>
      <c r="F8" s="24"/>
    </row>
    <row r="9" spans="1:6" ht="11.25" customHeight="1" x14ac:dyDescent="0.2">
      <c r="B9" s="15"/>
      <c r="C9" s="25"/>
      <c r="D9" s="20"/>
      <c r="E9" s="20"/>
    </row>
    <row r="10" spans="1:6" ht="11.25" customHeight="1" x14ac:dyDescent="0.2">
      <c r="A10" s="26" t="s">
        <v>219</v>
      </c>
      <c r="B10" s="27" t="s">
        <v>1008</v>
      </c>
    </row>
    <row r="11" spans="1:6" ht="11.25" customHeight="1" x14ac:dyDescent="0.2">
      <c r="A11" s="16" t="s">
        <v>772</v>
      </c>
    </row>
    <row r="12" spans="1:6" ht="11.25" customHeight="1" x14ac:dyDescent="0.2">
      <c r="A12" s="16" t="s">
        <v>773</v>
      </c>
    </row>
    <row r="13" spans="1:6" ht="11.25" customHeight="1" x14ac:dyDescent="0.2">
      <c r="A13" s="16" t="s">
        <v>775</v>
      </c>
    </row>
    <row r="14" spans="1:6" ht="11.25" customHeight="1" x14ac:dyDescent="0.2">
      <c r="A14" s="16" t="s">
        <v>776</v>
      </c>
    </row>
    <row r="15" spans="1:6" x14ac:dyDescent="0.2">
      <c r="A15" s="28" t="s">
        <v>213</v>
      </c>
      <c r="D15" s="29" t="s">
        <v>295</v>
      </c>
      <c r="E15" s="29" t="s">
        <v>296</v>
      </c>
      <c r="F15" s="29" t="s">
        <v>297</v>
      </c>
    </row>
    <row r="16" spans="1:6" ht="11.25" customHeight="1" x14ac:dyDescent="0.2">
      <c r="A16" s="16">
        <v>1</v>
      </c>
      <c r="B16" s="28" t="s">
        <v>207</v>
      </c>
      <c r="D16" s="112"/>
      <c r="E16" s="113">
        <v>1</v>
      </c>
      <c r="F16" s="30" t="e">
        <f t="shared" ref="F16:F21" si="0">ROUND(IF(Dtype=4,0,+E16*D16),2)</f>
        <v>#N/A</v>
      </c>
    </row>
    <row r="17" spans="1:9" ht="11.25" customHeight="1" x14ac:dyDescent="0.2">
      <c r="A17" s="16">
        <f t="shared" ref="A17:A22" si="1">+A16+1</f>
        <v>2</v>
      </c>
      <c r="B17" s="28" t="s">
        <v>208</v>
      </c>
      <c r="D17" s="112"/>
      <c r="E17" s="113">
        <v>1</v>
      </c>
      <c r="F17" s="30" t="e">
        <f t="shared" si="0"/>
        <v>#N/A</v>
      </c>
    </row>
    <row r="18" spans="1:9" ht="11.25" customHeight="1" x14ac:dyDescent="0.2">
      <c r="A18" s="16">
        <f t="shared" si="1"/>
        <v>3</v>
      </c>
      <c r="B18" s="28" t="s">
        <v>209</v>
      </c>
      <c r="D18" s="112"/>
      <c r="E18" s="113">
        <v>1</v>
      </c>
      <c r="F18" s="30" t="e">
        <f t="shared" si="0"/>
        <v>#N/A</v>
      </c>
      <c r="G18" s="99"/>
      <c r="I18" s="99"/>
    </row>
    <row r="19" spans="1:9" ht="11.25" customHeight="1" x14ac:dyDescent="0.2">
      <c r="A19" s="16">
        <f t="shared" si="1"/>
        <v>4</v>
      </c>
      <c r="B19" s="28" t="s">
        <v>210</v>
      </c>
      <c r="D19" s="112"/>
      <c r="E19" s="113">
        <v>1</v>
      </c>
      <c r="F19" s="30" t="e">
        <f t="shared" si="0"/>
        <v>#N/A</v>
      </c>
    </row>
    <row r="20" spans="1:9" ht="11.25" customHeight="1" x14ac:dyDescent="0.2">
      <c r="A20" s="16">
        <f t="shared" si="1"/>
        <v>5</v>
      </c>
      <c r="B20" s="28" t="s">
        <v>211</v>
      </c>
      <c r="D20" s="112"/>
      <c r="E20" s="113">
        <v>1</v>
      </c>
      <c r="F20" s="30" t="e">
        <f t="shared" si="0"/>
        <v>#N/A</v>
      </c>
      <c r="G20" s="99"/>
      <c r="I20" s="99"/>
    </row>
    <row r="21" spans="1:9" ht="11.25" customHeight="1" x14ac:dyDescent="0.2">
      <c r="A21" s="16">
        <f t="shared" si="1"/>
        <v>6</v>
      </c>
      <c r="B21" s="28" t="s">
        <v>220</v>
      </c>
      <c r="D21" s="112"/>
      <c r="E21" s="113">
        <v>1</v>
      </c>
      <c r="F21" s="30" t="e">
        <f t="shared" si="0"/>
        <v>#N/A</v>
      </c>
      <c r="I21" s="99"/>
    </row>
    <row r="22" spans="1:9" ht="11.25" customHeight="1" x14ac:dyDescent="0.2">
      <c r="A22" s="16">
        <f t="shared" si="1"/>
        <v>7</v>
      </c>
      <c r="B22" s="16" t="s">
        <v>222</v>
      </c>
      <c r="D22" s="20"/>
      <c r="E22" s="31"/>
      <c r="F22" s="30" t="e">
        <f>SUM(F16:F21)</f>
        <v>#N/A</v>
      </c>
    </row>
    <row r="23" spans="1:9" ht="11.25" customHeight="1" x14ac:dyDescent="0.2">
      <c r="D23" s="20"/>
      <c r="E23" s="31"/>
      <c r="F23" s="75"/>
      <c r="I23" s="233"/>
    </row>
    <row r="24" spans="1:9" ht="11.25" customHeight="1" x14ac:dyDescent="0.2">
      <c r="A24" s="16" t="s">
        <v>218</v>
      </c>
      <c r="D24" s="32"/>
      <c r="E24" s="33"/>
      <c r="F24" s="76"/>
    </row>
    <row r="25" spans="1:9" ht="11.25" customHeight="1" x14ac:dyDescent="0.2">
      <c r="A25" s="16">
        <f>+A22+1</f>
        <v>8</v>
      </c>
      <c r="B25" s="28" t="str">
        <f>"Alt High School (from line "&amp;A21&amp;")"</f>
        <v>Alt High School (from line 6)</v>
      </c>
      <c r="D25" s="30" t="e">
        <f>+F21</f>
        <v>#N/A</v>
      </c>
      <c r="E25" s="113">
        <v>0.25</v>
      </c>
      <c r="F25" s="30" t="e">
        <f t="shared" ref="F25:F36" si="2">ROUND(IF(Dtype=4,0,+E25*D25),2)</f>
        <v>#N/A</v>
      </c>
      <c r="I25" s="231"/>
    </row>
    <row r="26" spans="1:9" ht="11.25" customHeight="1" x14ac:dyDescent="0.2">
      <c r="A26" s="16">
        <f>+A25+1</f>
        <v>9</v>
      </c>
      <c r="B26" s="28" t="str">
        <f>"Special Ed ADM (from line "&amp;A22&amp;")"</f>
        <v>Special Ed ADM (from line 7)</v>
      </c>
      <c r="D26" s="30" t="e">
        <f>ADM</f>
        <v>#N/A</v>
      </c>
      <c r="E26" s="113">
        <v>8.7999999999999995E-2</v>
      </c>
      <c r="F26" s="30" t="e">
        <f t="shared" si="2"/>
        <v>#N/A</v>
      </c>
      <c r="G26" s="99"/>
      <c r="H26" s="99"/>
      <c r="I26" s="217"/>
    </row>
    <row r="27" spans="1:9" ht="11.25" customHeight="1" x14ac:dyDescent="0.2">
      <c r="A27" s="16">
        <f t="shared" ref="A27:A35" si="3">+A26+1</f>
        <v>10</v>
      </c>
      <c r="B27" s="28" t="str">
        <f>"PK Special Ed ADM (from line "&amp;A16&amp;")"</f>
        <v>PK Special Ed ADM (from line 1)</v>
      </c>
      <c r="D27" s="30" t="e">
        <f>+F16</f>
        <v>#N/A</v>
      </c>
      <c r="E27" s="113">
        <v>0.17</v>
      </c>
      <c r="F27" s="30" t="e">
        <f t="shared" si="2"/>
        <v>#N/A</v>
      </c>
      <c r="H27" s="99"/>
    </row>
    <row r="28" spans="1:9" ht="11.25" customHeight="1" x14ac:dyDescent="0.2">
      <c r="A28" s="16">
        <f t="shared" si="3"/>
        <v>11</v>
      </c>
      <c r="B28" s="28" t="str">
        <f>"Regional Education Association (if member from line "&amp;$A$22&amp;")"</f>
        <v>Regional Education Association (if member from line 7)</v>
      </c>
      <c r="D28" s="30" t="e">
        <f>IF(REANo&gt;0,ADM,0)</f>
        <v>#N/A</v>
      </c>
      <c r="E28" s="113">
        <v>2E-3</v>
      </c>
      <c r="F28" s="30" t="e">
        <f t="shared" si="2"/>
        <v>#N/A</v>
      </c>
      <c r="G28" s="99"/>
    </row>
    <row r="29" spans="1:9" ht="11.25" customHeight="1" x14ac:dyDescent="0.2">
      <c r="A29" s="16">
        <f t="shared" si="3"/>
        <v>12</v>
      </c>
      <c r="B29" s="28" t="s">
        <v>1184</v>
      </c>
      <c r="D29" s="30" t="e">
        <f>F137</f>
        <v>#N/A</v>
      </c>
      <c r="E29" s="113">
        <v>1</v>
      </c>
      <c r="F29" s="30" t="e">
        <f t="shared" si="2"/>
        <v>#N/A</v>
      </c>
      <c r="G29" s="235"/>
    </row>
    <row r="30" spans="1:9" ht="11.25" customHeight="1" x14ac:dyDescent="0.2">
      <c r="A30" s="16">
        <f t="shared" si="3"/>
        <v>13</v>
      </c>
      <c r="B30" s="28" t="s">
        <v>1179</v>
      </c>
      <c r="D30" s="30" t="e">
        <f>F142</f>
        <v>#N/A</v>
      </c>
      <c r="E30" s="113">
        <v>1</v>
      </c>
      <c r="F30" s="30" t="e">
        <f t="shared" si="2"/>
        <v>#N/A</v>
      </c>
      <c r="H30" s="234"/>
    </row>
    <row r="31" spans="1:9" ht="11.25" customHeight="1" x14ac:dyDescent="0.2">
      <c r="A31" s="16">
        <f t="shared" si="3"/>
        <v>14</v>
      </c>
      <c r="B31" s="28" t="s">
        <v>824</v>
      </c>
      <c r="D31" s="112"/>
      <c r="E31" s="113">
        <v>0.4</v>
      </c>
      <c r="F31" s="30" t="e">
        <f t="shared" si="2"/>
        <v>#N/A</v>
      </c>
    </row>
    <row r="32" spans="1:9" ht="11.25" customHeight="1" x14ac:dyDescent="0.2">
      <c r="A32" s="16">
        <f t="shared" si="3"/>
        <v>15</v>
      </c>
      <c r="B32" s="28" t="s">
        <v>825</v>
      </c>
      <c r="D32" s="112"/>
      <c r="E32" s="113">
        <v>0.28000000000000003</v>
      </c>
      <c r="F32" s="30" t="e">
        <f t="shared" si="2"/>
        <v>#N/A</v>
      </c>
    </row>
    <row r="33" spans="1:8" ht="11.25" customHeight="1" x14ac:dyDescent="0.2">
      <c r="A33" s="16">
        <f t="shared" si="3"/>
        <v>16</v>
      </c>
      <c r="B33" s="28" t="s">
        <v>846</v>
      </c>
      <c r="D33" s="112"/>
      <c r="E33" s="113">
        <v>7.0000000000000007E-2</v>
      </c>
      <c r="F33" s="30" t="e">
        <f t="shared" si="2"/>
        <v>#N/A</v>
      </c>
    </row>
    <row r="34" spans="1:8" ht="11.25" customHeight="1" x14ac:dyDescent="0.2">
      <c r="A34" s="16">
        <f t="shared" si="3"/>
        <v>17</v>
      </c>
      <c r="B34" s="28" t="s">
        <v>826</v>
      </c>
      <c r="D34" s="112"/>
      <c r="E34" s="113">
        <v>2.5000000000000001E-2</v>
      </c>
      <c r="F34" s="30" t="e">
        <f t="shared" si="2"/>
        <v>#N/A</v>
      </c>
    </row>
    <row r="35" spans="1:8" ht="11.25" customHeight="1" x14ac:dyDescent="0.2">
      <c r="A35" s="16">
        <f t="shared" si="3"/>
        <v>18</v>
      </c>
      <c r="B35" s="28" t="s">
        <v>779</v>
      </c>
      <c r="D35" s="112"/>
      <c r="E35" s="113">
        <v>0.2</v>
      </c>
      <c r="F35" s="30" t="e">
        <f t="shared" si="2"/>
        <v>#N/A</v>
      </c>
    </row>
    <row r="36" spans="1:8" ht="11.25" customHeight="1" x14ac:dyDescent="0.2">
      <c r="A36" s="16">
        <f>A35+1</f>
        <v>19</v>
      </c>
      <c r="B36" s="28" t="s">
        <v>971</v>
      </c>
      <c r="D36" s="112"/>
      <c r="E36" s="113">
        <v>0.15</v>
      </c>
      <c r="F36" s="30" t="e">
        <f t="shared" si="2"/>
        <v>#N/A</v>
      </c>
    </row>
    <row r="37" spans="1:8" ht="11.25" customHeight="1" x14ac:dyDescent="0.2">
      <c r="B37" s="16" t="s">
        <v>217</v>
      </c>
      <c r="D37" s="34"/>
      <c r="E37" s="31"/>
      <c r="F37" s="75"/>
    </row>
    <row r="38" spans="1:8" ht="11.25" customHeight="1" x14ac:dyDescent="0.2">
      <c r="A38" s="16">
        <f>+A36+1</f>
        <v>20</v>
      </c>
      <c r="B38" s="52" t="s">
        <v>961</v>
      </c>
      <c r="D38" s="112"/>
      <c r="E38" s="113">
        <v>0.6</v>
      </c>
      <c r="F38" s="30" t="e">
        <f>ROUND(IF(Dtype=4,0,+E38*D38),2)</f>
        <v>#N/A</v>
      </c>
    </row>
    <row r="39" spans="1:8" ht="11.25" customHeight="1" x14ac:dyDescent="0.2">
      <c r="A39" s="16">
        <f>A38+1</f>
        <v>21</v>
      </c>
      <c r="B39" s="52" t="s">
        <v>962</v>
      </c>
      <c r="D39" s="112"/>
      <c r="E39" s="113">
        <v>1</v>
      </c>
      <c r="F39" s="30" t="e">
        <f>ROUND(IF(Dtype=4,0,+E39*D39),2)</f>
        <v>#N/A</v>
      </c>
      <c r="G39" s="99"/>
    </row>
    <row r="40" spans="1:8" ht="11.25" customHeight="1" x14ac:dyDescent="0.2">
      <c r="B40" s="28" t="s">
        <v>932</v>
      </c>
      <c r="D40" s="53"/>
      <c r="E40" s="31"/>
      <c r="F40" s="75"/>
    </row>
    <row r="41" spans="1:8" ht="11.25" customHeight="1" x14ac:dyDescent="0.2">
      <c r="A41" s="16">
        <f>+A39+1</f>
        <v>22</v>
      </c>
      <c r="B41" s="16" t="s">
        <v>963</v>
      </c>
      <c r="D41" s="30" t="e">
        <f>IF(AND(SqMiles&gt;275,ADM&lt;100),ADM,0)</f>
        <v>#N/A</v>
      </c>
      <c r="E41" s="113">
        <v>0.1</v>
      </c>
      <c r="F41" s="30" t="e">
        <f>ROUND(IF(Dtype=4,0,+E41*D41),2)</f>
        <v>#N/A</v>
      </c>
    </row>
    <row r="42" spans="1:8" ht="11.25" customHeight="1" x14ac:dyDescent="0.2">
      <c r="A42" s="16">
        <f>+A41+1</f>
        <v>23</v>
      </c>
      <c r="B42" s="16" t="s">
        <v>964</v>
      </c>
      <c r="D42" s="30" t="e">
        <f>IF(AND(SqMiles&gt;600,ADM&lt;50),50-ADM,0)</f>
        <v>#N/A</v>
      </c>
      <c r="E42" s="113">
        <v>1.1000000000000001</v>
      </c>
      <c r="F42" s="30" t="e">
        <f>ROUND(IF(Dtype=4,0,+E42*D42),2)</f>
        <v>#N/A</v>
      </c>
    </row>
    <row r="43" spans="1:8" ht="11.25" customHeight="1" x14ac:dyDescent="0.2">
      <c r="B43" s="52"/>
      <c r="D43" s="4"/>
      <c r="E43" s="4"/>
      <c r="F43" s="4"/>
    </row>
    <row r="44" spans="1:8" ht="11.25" customHeight="1" x14ac:dyDescent="0.2">
      <c r="A44" s="16">
        <f>+A42+1</f>
        <v>24</v>
      </c>
      <c r="B44" s="16" t="str">
        <f>"Total Weighted Average Daily Membership (add lines "&amp;A22&amp;" through "&amp;A42&amp;")"</f>
        <v>Total Weighted Average Daily Membership (add lines 7 through 23)</v>
      </c>
      <c r="D44" s="20"/>
      <c r="E44" s="20"/>
      <c r="F44" s="30" t="e">
        <f>SUM(F22:F43)</f>
        <v>#N/A</v>
      </c>
      <c r="H44" s="99"/>
    </row>
    <row r="45" spans="1:8" ht="11.25" customHeight="1" x14ac:dyDescent="0.2">
      <c r="A45" s="16">
        <f t="shared" ref="A45:A48" si="4">+A44+1</f>
        <v>25</v>
      </c>
      <c r="B45" s="16" t="s">
        <v>1134</v>
      </c>
      <c r="D45" s="20"/>
      <c r="E45" s="20"/>
      <c r="F45" s="112"/>
    </row>
    <row r="46" spans="1:8" ht="11.25" customHeight="1" x14ac:dyDescent="0.2">
      <c r="A46" s="16">
        <f t="shared" si="4"/>
        <v>26</v>
      </c>
      <c r="B46" s="16" t="s">
        <v>1135</v>
      </c>
      <c r="D46" s="20"/>
      <c r="E46" s="20"/>
      <c r="F46" s="30" t="e">
        <f>F44-F45</f>
        <v>#N/A</v>
      </c>
    </row>
    <row r="47" spans="1:8" ht="11.25" customHeight="1" x14ac:dyDescent="0.2">
      <c r="A47" s="16">
        <f t="shared" si="4"/>
        <v>27</v>
      </c>
      <c r="B47" s="16" t="s">
        <v>1005</v>
      </c>
      <c r="D47" s="20"/>
      <c r="F47" s="200" t="e">
        <f>ROUND(IF(ADM=0,0,IF(Data2!M1=0,IF(Dtype=1,MAX(VLOOKUP(ADM,FactorTable,4,TRUE),VLOOKUP(ADM,FactorTable,5,TRUE)/ADM),MAX(VLOOKUP(ROUND(ADM/0.6,2),FactorTable,4,TRUE),VLOOKUP(ADM/ROUND(0.6,2),FactorTable,5,TRUE)/(ROUND(ADM/0.6,2)))),VLOOKUP(CoDist,FactorTableR,5,FALSE))),4)</f>
        <v>#N/A</v>
      </c>
    </row>
    <row r="48" spans="1:8" ht="11.25" customHeight="1" x14ac:dyDescent="0.2">
      <c r="A48" s="16">
        <f t="shared" si="4"/>
        <v>28</v>
      </c>
      <c r="B48" s="16" t="s">
        <v>1136</v>
      </c>
      <c r="D48" s="20"/>
      <c r="F48" s="156" t="e">
        <f>ROUND(F47*F46,2)</f>
        <v>#N/A</v>
      </c>
    </row>
    <row r="49" spans="1:9" ht="11.25" customHeight="1" x14ac:dyDescent="0.2">
      <c r="A49" s="16">
        <f>+A48+1</f>
        <v>29</v>
      </c>
      <c r="B49" s="16" t="s">
        <v>1137</v>
      </c>
      <c r="D49" s="20"/>
      <c r="F49" s="30" t="e">
        <f>F48+F45</f>
        <v>#N/A</v>
      </c>
    </row>
    <row r="50" spans="1:9" ht="11.25" customHeight="1" x14ac:dyDescent="0.2">
      <c r="A50" s="16">
        <f>+A49+1</f>
        <v>30</v>
      </c>
      <c r="B50" s="16" t="s">
        <v>212</v>
      </c>
      <c r="C50" s="20"/>
      <c r="D50" s="20"/>
      <c r="E50" s="35"/>
      <c r="F50" s="157">
        <v>11633</v>
      </c>
    </row>
    <row r="51" spans="1:9" ht="11.25" customHeight="1" x14ac:dyDescent="0.2">
      <c r="A51" s="16">
        <f>+A50+1</f>
        <v>31</v>
      </c>
      <c r="B51" s="16" t="s">
        <v>221</v>
      </c>
      <c r="C51" s="20"/>
      <c r="D51" s="20"/>
      <c r="E51" s="35"/>
      <c r="F51" s="30" t="e">
        <f>ROUND(+F49*BaseRate,2)</f>
        <v>#N/A</v>
      </c>
      <c r="G51" s="5"/>
    </row>
    <row r="52" spans="1:9" ht="11.25" customHeight="1" x14ac:dyDescent="0.2">
      <c r="C52" s="20"/>
      <c r="D52" s="20"/>
      <c r="F52" s="75"/>
    </row>
    <row r="53" spans="1:9" ht="11.25" customHeight="1" x14ac:dyDescent="0.2">
      <c r="A53" s="28" t="s">
        <v>991</v>
      </c>
      <c r="C53" s="20"/>
      <c r="D53" s="218">
        <f>MinAdj</f>
        <v>0.15</v>
      </c>
      <c r="E53" s="36"/>
      <c r="F53" s="77"/>
    </row>
    <row r="54" spans="1:9" ht="11.25" customHeight="1" x14ac:dyDescent="0.2">
      <c r="A54" s="16">
        <f>+A51+1</f>
        <v>32</v>
      </c>
      <c r="B54" s="16" t="str">
        <f>"Transition Minimum Adjustment (from line "&amp;A132&amp;") with 70% Reduction"</f>
        <v>Transition Minimum Adjustment (from line 72) with 70% Reduction</v>
      </c>
      <c r="C54" s="20"/>
      <c r="D54" s="30" t="e">
        <f>F132</f>
        <v>#N/A</v>
      </c>
      <c r="E54" s="181" t="e">
        <f>ROUND((MAX(D54,F51)-F51),2)</f>
        <v>#N/A</v>
      </c>
      <c r="F54" s="30" t="e">
        <f>ROUND(E54*D53,2)</f>
        <v>#N/A</v>
      </c>
      <c r="H54" s="99"/>
      <c r="I54" s="99"/>
    </row>
    <row r="55" spans="1:9" ht="11.25" customHeight="1" x14ac:dyDescent="0.2">
      <c r="A55" s="16">
        <f>+A54+1</f>
        <v>33</v>
      </c>
      <c r="B55" s="4" t="str">
        <f>"Total Adjusted Formula Amount (total lines "&amp;A51&amp;", and "&amp;A54&amp;")"</f>
        <v>Total Adjusted Formula Amount (total lines 31, and 32)</v>
      </c>
      <c r="C55" s="4"/>
      <c r="D55" s="42"/>
      <c r="E55" s="36"/>
      <c r="F55" s="30" t="e">
        <f>SUM(F51:F54)</f>
        <v>#N/A</v>
      </c>
      <c r="G55" s="5"/>
      <c r="H55" s="99"/>
    </row>
    <row r="56" spans="1:9" ht="11.25" customHeight="1" x14ac:dyDescent="0.2">
      <c r="A56" s="16">
        <f>+A55+1</f>
        <v>34</v>
      </c>
      <c r="B56" s="28" t="str">
        <f>"Contribution from Property Tax (from line "&amp;A91&amp;")"</f>
        <v>Contribution from Property Tax (from line 48)</v>
      </c>
      <c r="C56" s="20"/>
      <c r="D56" s="37"/>
      <c r="F56" s="30" t="e">
        <f>MIN(+F91,F55)</f>
        <v>#N/A</v>
      </c>
      <c r="G56" s="5"/>
      <c r="H56" s="99"/>
      <c r="I56" s="5"/>
    </row>
    <row r="57" spans="1:9" ht="11.25" customHeight="1" x14ac:dyDescent="0.2">
      <c r="A57" s="16">
        <f>+A56+1</f>
        <v>35</v>
      </c>
      <c r="B57" s="28" t="str">
        <f>"Contribution from Other Local Revenue (from line "&amp;A83&amp;")"</f>
        <v>Contribution from Other Local Revenue (from line 43)</v>
      </c>
      <c r="C57" s="4"/>
      <c r="D57" s="4"/>
      <c r="E57" s="4"/>
      <c r="F57" s="30" t="e">
        <f>MIN(+F83,SUM(F55,-F56))</f>
        <v>#N/A</v>
      </c>
    </row>
    <row r="58" spans="1:9" ht="11.25" customHeight="1" x14ac:dyDescent="0.2">
      <c r="A58" s="16">
        <f>+A57+1</f>
        <v>36</v>
      </c>
      <c r="B58" s="16" t="str">
        <f>"State Aid Payment  (line "&amp;A55&amp;" minus lines "&amp;A56&amp;" and "&amp;A57&amp;")"</f>
        <v>State Aid Payment  (line 33 minus lines 34 and 35)</v>
      </c>
      <c r="C58" s="215"/>
      <c r="D58" s="215"/>
      <c r="E58" s="215"/>
      <c r="F58" s="30" t="e">
        <f>+F55-F56-F57</f>
        <v>#N/A</v>
      </c>
      <c r="G58" s="231"/>
      <c r="H58" s="99"/>
    </row>
    <row r="59" spans="1:9" ht="11.25" customHeight="1" x14ac:dyDescent="0.2">
      <c r="C59" s="38"/>
      <c r="D59" s="38"/>
      <c r="E59" s="145"/>
      <c r="F59" s="20"/>
    </row>
    <row r="60" spans="1:9" ht="11.25" customHeight="1" x14ac:dyDescent="0.2">
      <c r="A60" s="28" t="s">
        <v>827</v>
      </c>
      <c r="D60" s="46" t="s">
        <v>847</v>
      </c>
      <c r="E60" s="46" t="s">
        <v>828</v>
      </c>
      <c r="F60" s="77" t="s">
        <v>848</v>
      </c>
    </row>
    <row r="61" spans="1:9" ht="11.25" customHeight="1" x14ac:dyDescent="0.2">
      <c r="A61" s="16">
        <v>1</v>
      </c>
      <c r="B61" s="28" t="str">
        <f>"State Aid Formula Payment (from line "&amp;A58&amp;")"</f>
        <v>State Aid Formula Payment (from line 36)</v>
      </c>
      <c r="C61" s="43"/>
      <c r="D61" s="30" t="e">
        <f>+F58</f>
        <v>#N/A</v>
      </c>
      <c r="E61" s="30" t="e">
        <f>IF(D61&lt;0,0,MAX(-D61,MIN(0,SUM($D60:D$61)-$F$98)))</f>
        <v>#N/A</v>
      </c>
      <c r="F61" s="30" t="e">
        <f>SUM(D61:E61)</f>
        <v>#N/A</v>
      </c>
    </row>
    <row r="62" spans="1:9" ht="11.25" customHeight="1" x14ac:dyDescent="0.2">
      <c r="A62" s="16">
        <v>2</v>
      </c>
      <c r="B62" s="28" t="str">
        <f>"Transportation (from line "&amp;A117&amp;")"</f>
        <v>Transportation (from line 62)</v>
      </c>
      <c r="C62" s="43"/>
      <c r="D62" s="30">
        <f>F117</f>
        <v>0</v>
      </c>
      <c r="E62" s="30" t="e">
        <f>IF(D62&lt;0,0,MAX(-D62,MIN(0,SUM($D$61:D61)-$F$98)))</f>
        <v>#N/A</v>
      </c>
      <c r="F62" s="30" t="e">
        <f t="shared" ref="F62:F67" si="5">SUM(D62:E62)</f>
        <v>#N/A</v>
      </c>
    </row>
    <row r="63" spans="1:9" ht="11.25" customHeight="1" x14ac:dyDescent="0.2">
      <c r="A63" s="16">
        <v>3</v>
      </c>
      <c r="B63" s="28" t="s">
        <v>770</v>
      </c>
      <c r="C63" s="43"/>
      <c r="D63" s="30" t="e">
        <f>+Data2!CU1</f>
        <v>#N/A</v>
      </c>
      <c r="E63" s="30" t="e">
        <f>IF(D63&lt;0,0,MAX(-D63,MIN(0,SUM($D$61:D62)-$F$98)))</f>
        <v>#N/A</v>
      </c>
      <c r="F63" s="30" t="e">
        <f t="shared" si="5"/>
        <v>#N/A</v>
      </c>
    </row>
    <row r="64" spans="1:9" ht="11.25" customHeight="1" x14ac:dyDescent="0.2">
      <c r="A64" s="16">
        <v>4</v>
      </c>
      <c r="B64" s="28" t="s">
        <v>490</v>
      </c>
      <c r="C64" s="43"/>
      <c r="D64" s="30" t="e">
        <f>+Data2!CV1</f>
        <v>#N/A</v>
      </c>
      <c r="E64" s="30" t="e">
        <f>IF(D64&lt;0,0,MAX(-D64,MIN(0,SUM($D$61:D63)-$F$98)))</f>
        <v>#N/A</v>
      </c>
      <c r="F64" s="30" t="e">
        <f t="shared" si="5"/>
        <v>#N/A</v>
      </c>
    </row>
    <row r="65" spans="1:6" ht="11.25" customHeight="1" x14ac:dyDescent="0.2">
      <c r="A65" s="16">
        <v>5</v>
      </c>
      <c r="B65" s="28" t="s">
        <v>491</v>
      </c>
      <c r="C65" s="43"/>
      <c r="D65" s="30" t="e">
        <f>+Data2!CW1</f>
        <v>#N/A</v>
      </c>
      <c r="E65" s="30" t="e">
        <f>IF(D65&lt;0,0,MAX(-D65,MIN(0,SUM($D$61:D64)-$F$98)))</f>
        <v>#N/A</v>
      </c>
      <c r="F65" s="30" t="e">
        <f t="shared" si="5"/>
        <v>#N/A</v>
      </c>
    </row>
    <row r="66" spans="1:6" ht="11.25" customHeight="1" x14ac:dyDescent="0.2">
      <c r="A66" s="16">
        <v>6</v>
      </c>
      <c r="B66" s="28" t="s">
        <v>789</v>
      </c>
      <c r="C66" s="43"/>
      <c r="D66" s="30" t="e">
        <f>+Data2!CX1</f>
        <v>#N/A</v>
      </c>
      <c r="E66" s="30" t="e">
        <f>IF(D66&lt;0,0,MAX(-D66,MIN(0,SUM($D$61:D65)-$F$98)))</f>
        <v>#N/A</v>
      </c>
      <c r="F66" s="30" t="e">
        <f t="shared" si="5"/>
        <v>#N/A</v>
      </c>
    </row>
    <row r="67" spans="1:6" ht="11.25" customHeight="1" x14ac:dyDescent="0.2">
      <c r="A67" s="16">
        <v>7</v>
      </c>
      <c r="B67" s="28" t="s">
        <v>798</v>
      </c>
      <c r="C67" s="43"/>
      <c r="D67" s="30" t="e">
        <f>+Data2!CY1</f>
        <v>#N/A</v>
      </c>
      <c r="E67" s="30" t="e">
        <f>IF(D67&lt;0,0,MAX(-D67,MIN(0,SUM($D$61:D66)-$F$98)))</f>
        <v>#N/A</v>
      </c>
      <c r="F67" s="30" t="e">
        <f t="shared" si="5"/>
        <v>#N/A</v>
      </c>
    </row>
    <row r="68" spans="1:6" ht="11.25" customHeight="1" x14ac:dyDescent="0.2">
      <c r="B68" s="28"/>
      <c r="C68" s="43"/>
      <c r="D68" s="30"/>
      <c r="E68" s="30"/>
      <c r="F68" s="30"/>
    </row>
    <row r="69" spans="1:6" ht="11.25" customHeight="1" x14ac:dyDescent="0.2">
      <c r="B69" s="28" t="s">
        <v>781</v>
      </c>
      <c r="C69" s="20"/>
      <c r="D69" s="30" t="e">
        <f>SUM(D61:D68)</f>
        <v>#N/A</v>
      </c>
      <c r="E69" s="30" t="e">
        <f>SUM(E61:E68)</f>
        <v>#N/A</v>
      </c>
      <c r="F69" s="30" t="e">
        <f>SUM(F61:F68)</f>
        <v>#N/A</v>
      </c>
    </row>
    <row r="70" spans="1:6" ht="11.25" customHeight="1" x14ac:dyDescent="0.2">
      <c r="B70" s="28"/>
      <c r="C70" s="20"/>
      <c r="F70" s="108"/>
    </row>
    <row r="71" spans="1:6" ht="11.25" hidden="1" customHeight="1" x14ac:dyDescent="0.2">
      <c r="B71" s="28" t="str">
        <f>"Excess Fund Balance Offset (from line "&amp;A98&amp;")"</f>
        <v>Excess Fund Balance Offset (from line 52)</v>
      </c>
      <c r="C71" s="20"/>
      <c r="E71" s="30" t="e">
        <f>F98</f>
        <v>#N/A</v>
      </c>
    </row>
    <row r="72" spans="1:6" ht="11.25" customHeight="1" x14ac:dyDescent="0.2">
      <c r="D72" s="40"/>
      <c r="F72" s="78"/>
    </row>
    <row r="73" spans="1:6" ht="17.25" customHeight="1" x14ac:dyDescent="0.2">
      <c r="A73" s="27" t="s">
        <v>983</v>
      </c>
      <c r="C73" s="20"/>
      <c r="D73" s="20"/>
      <c r="E73" s="160"/>
      <c r="F73" s="160" t="str">
        <f>+F7</f>
        <v>2026-2027</v>
      </c>
    </row>
    <row r="74" spans="1:6" ht="11.25" customHeight="1" x14ac:dyDescent="0.2">
      <c r="B74" s="4"/>
      <c r="C74" s="4"/>
      <c r="D74" s="4"/>
      <c r="E74" s="4"/>
      <c r="F74" s="4"/>
    </row>
    <row r="75" spans="1:6" ht="11.25" customHeight="1" thickBot="1" x14ac:dyDescent="0.25">
      <c r="A75" s="49"/>
      <c r="B75" s="49"/>
      <c r="C75" s="49"/>
      <c r="D75" s="49"/>
      <c r="E75" s="49"/>
      <c r="F75" s="49"/>
    </row>
    <row r="76" spans="1:6" ht="20.399999999999999" x14ac:dyDescent="0.2">
      <c r="A76" s="26" t="s">
        <v>223</v>
      </c>
      <c r="B76" s="158" t="s">
        <v>984</v>
      </c>
      <c r="C76" s="46" t="s">
        <v>832</v>
      </c>
      <c r="D76" s="151" t="s">
        <v>1093</v>
      </c>
      <c r="E76" s="46" t="s">
        <v>833</v>
      </c>
      <c r="F76" s="77"/>
    </row>
    <row r="77" spans="1:6" ht="11.25" customHeight="1" x14ac:dyDescent="0.2">
      <c r="A77" s="16">
        <f>+A58+1</f>
        <v>37</v>
      </c>
      <c r="B77" s="28" t="s">
        <v>1</v>
      </c>
      <c r="C77" s="112"/>
      <c r="D77" s="165" t="e">
        <f>IF($D$85=0,C77,ROUND(C77*($E$85),2))</f>
        <v>#N/A</v>
      </c>
      <c r="E77" s="119">
        <v>0.75</v>
      </c>
      <c r="F77" s="30" t="e">
        <f>ROUND(+E77*D77,2)</f>
        <v>#N/A</v>
      </c>
    </row>
    <row r="78" spans="1:6" ht="11.25" customHeight="1" x14ac:dyDescent="0.2">
      <c r="A78" s="16">
        <f t="shared" ref="A78:A83" si="6">+A77+1</f>
        <v>38</v>
      </c>
      <c r="B78" s="28" t="s">
        <v>298</v>
      </c>
      <c r="C78" s="112"/>
      <c r="D78" s="165" t="e">
        <f t="shared" ref="D78:D82" si="7">IF($D$85=0,C78,ROUND(C78*($E$85),2))</f>
        <v>#N/A</v>
      </c>
      <c r="E78" s="119">
        <v>0.75</v>
      </c>
      <c r="F78" s="30" t="e">
        <f t="shared" ref="F78:F82" si="8">ROUND(+E78*D78,2)</f>
        <v>#N/A</v>
      </c>
    </row>
    <row r="79" spans="1:6" ht="11.25" customHeight="1" x14ac:dyDescent="0.2">
      <c r="A79" s="16">
        <f t="shared" si="6"/>
        <v>39</v>
      </c>
      <c r="B79" s="28" t="s">
        <v>830</v>
      </c>
      <c r="C79" s="112"/>
      <c r="D79" s="165" t="e">
        <f t="shared" si="7"/>
        <v>#N/A</v>
      </c>
      <c r="E79" s="175">
        <v>0.75</v>
      </c>
      <c r="F79" s="30" t="e">
        <f t="shared" si="8"/>
        <v>#N/A</v>
      </c>
    </row>
    <row r="80" spans="1:6" ht="11.25" customHeight="1" x14ac:dyDescent="0.2">
      <c r="A80" s="16">
        <f t="shared" si="6"/>
        <v>40</v>
      </c>
      <c r="B80" s="28" t="s">
        <v>1014</v>
      </c>
      <c r="C80" s="112"/>
      <c r="D80" s="165" t="e">
        <f t="shared" si="7"/>
        <v>#N/A</v>
      </c>
      <c r="E80" s="175">
        <v>0.75</v>
      </c>
      <c r="F80" s="30" t="e">
        <f t="shared" si="8"/>
        <v>#N/A</v>
      </c>
    </row>
    <row r="81" spans="1:10" ht="11.25" customHeight="1" x14ac:dyDescent="0.2">
      <c r="A81" s="16">
        <f t="shared" si="6"/>
        <v>41</v>
      </c>
      <c r="B81" s="28" t="s">
        <v>985</v>
      </c>
      <c r="C81" s="112"/>
      <c r="D81" s="165" t="e">
        <f t="shared" si="7"/>
        <v>#N/A</v>
      </c>
      <c r="E81" s="175">
        <v>0.75</v>
      </c>
      <c r="F81" s="30" t="e">
        <f t="shared" si="8"/>
        <v>#N/A</v>
      </c>
    </row>
    <row r="82" spans="1:10" ht="11.25" customHeight="1" x14ac:dyDescent="0.2">
      <c r="A82" s="16">
        <f t="shared" si="6"/>
        <v>42</v>
      </c>
      <c r="B82" s="28" t="s">
        <v>823</v>
      </c>
      <c r="C82" s="112"/>
      <c r="D82" s="165" t="e">
        <f t="shared" si="7"/>
        <v>#N/A</v>
      </c>
      <c r="E82" s="175">
        <v>0.75</v>
      </c>
      <c r="F82" s="30" t="e">
        <f t="shared" si="8"/>
        <v>#N/A</v>
      </c>
    </row>
    <row r="83" spans="1:10" ht="11.25" customHeight="1" x14ac:dyDescent="0.2">
      <c r="A83" s="16">
        <f t="shared" si="6"/>
        <v>43</v>
      </c>
      <c r="B83" s="28" t="s">
        <v>1017</v>
      </c>
      <c r="D83" s="20"/>
      <c r="E83" s="39"/>
      <c r="F83" s="30" t="e">
        <f>SUM(F77:F82)</f>
        <v>#N/A</v>
      </c>
    </row>
    <row r="84" spans="1:10" ht="21.75" customHeight="1" x14ac:dyDescent="0.2">
      <c r="B84" s="28"/>
      <c r="C84" s="46" t="s">
        <v>1094</v>
      </c>
      <c r="D84" s="36" t="s">
        <v>1095</v>
      </c>
      <c r="E84" s="176" t="s">
        <v>1096</v>
      </c>
      <c r="F84" s="39"/>
    </row>
    <row r="85" spans="1:10" ht="11.25" customHeight="1" thickBot="1" x14ac:dyDescent="0.25">
      <c r="A85" s="49"/>
      <c r="B85" s="49"/>
      <c r="C85" s="178" t="e">
        <f>SIMills</f>
        <v>#N/A</v>
      </c>
      <c r="D85" s="178" t="e">
        <f>TotalMills</f>
        <v>#N/A</v>
      </c>
      <c r="E85" s="177" t="e">
        <f>ROUND(IF(D85=0,0,(1-C85/D85)),4)</f>
        <v>#N/A</v>
      </c>
      <c r="F85" s="49"/>
    </row>
    <row r="86" spans="1:10" ht="11.25" customHeight="1" x14ac:dyDescent="0.2">
      <c r="A86" s="26" t="s">
        <v>339</v>
      </c>
      <c r="B86" s="27" t="s">
        <v>986</v>
      </c>
      <c r="D86" s="20"/>
      <c r="E86" s="39"/>
      <c r="F86" s="39"/>
      <c r="G86" s="99"/>
    </row>
    <row r="87" spans="1:10" ht="11.25" customHeight="1" x14ac:dyDescent="0.2">
      <c r="A87" s="16">
        <f>A83+1</f>
        <v>44</v>
      </c>
      <c r="B87" s="28" t="s">
        <v>987</v>
      </c>
      <c r="C87" s="41"/>
      <c r="D87" s="20"/>
      <c r="E87" s="39"/>
      <c r="F87" s="153" t="e">
        <f>TaxValue</f>
        <v>#N/A</v>
      </c>
    </row>
    <row r="88" spans="1:10" ht="11.25" customHeight="1" x14ac:dyDescent="0.2">
      <c r="A88" s="16">
        <f t="shared" ref="A88:A91" si="9">A87+1</f>
        <v>45</v>
      </c>
      <c r="B88" s="28" t="s">
        <v>989</v>
      </c>
      <c r="F88" s="159">
        <v>60</v>
      </c>
    </row>
    <row r="89" spans="1:10" ht="11.25" customHeight="1" x14ac:dyDescent="0.2">
      <c r="A89" s="16">
        <f t="shared" si="9"/>
        <v>46</v>
      </c>
      <c r="B89" s="28" t="str">
        <f>"Contribution from Property Tax (line "&amp;A87&amp;" times line "&amp;A88&amp;" divided by 1000)"</f>
        <v>Contribution from Property Tax (line 44 times line 45 divided by 1000)</v>
      </c>
      <c r="C89" s="41"/>
      <c r="D89" s="20"/>
      <c r="E89" s="39"/>
      <c r="F89" s="30" t="e">
        <f>ROUND(F87*F88/1000,2)</f>
        <v>#N/A</v>
      </c>
    </row>
    <row r="90" spans="1:10" ht="11.25" customHeight="1" x14ac:dyDescent="0.2">
      <c r="A90" s="16">
        <f t="shared" si="9"/>
        <v>47</v>
      </c>
      <c r="B90" s="28" t="s">
        <v>1009</v>
      </c>
      <c r="C90" s="155"/>
      <c r="D90" s="154"/>
      <c r="E90" s="156" t="e">
        <f>IF(wsu=0,0,IF(F87/wsu&lt;STVPP*0.2,ROUND(STVPP*0.2*wsu*F88/1000,2),0))</f>
        <v>#N/A</v>
      </c>
      <c r="F90" s="156" t="e">
        <f>MAX(0,E90-F89)</f>
        <v>#N/A</v>
      </c>
      <c r="H90" s="5"/>
      <c r="I90" s="5"/>
      <c r="J90" s="187"/>
    </row>
    <row r="91" spans="1:10" ht="11.25" customHeight="1" x14ac:dyDescent="0.2">
      <c r="A91" s="16">
        <f t="shared" si="9"/>
        <v>48</v>
      </c>
      <c r="B91" s="4" t="str">
        <f>"Contribution from Property Tax (Max "&amp;A89&amp;", "&amp;A90&amp;")"</f>
        <v>Contribution from Property Tax (Max 46, 47)</v>
      </c>
      <c r="F91" s="30" t="e">
        <f>SUM(F89:F90)</f>
        <v>#N/A</v>
      </c>
      <c r="G91" s="99"/>
      <c r="H91" s="99"/>
      <c r="I91" s="99"/>
    </row>
    <row r="92" spans="1:10" ht="11.25" customHeight="1" x14ac:dyDescent="0.2"/>
    <row r="93" spans="1:10" ht="11.25" hidden="1" customHeight="1" thickBot="1" x14ac:dyDescent="0.25">
      <c r="A93" s="49"/>
      <c r="B93" s="49"/>
      <c r="C93" s="49"/>
      <c r="D93" s="49"/>
      <c r="E93" s="49"/>
      <c r="F93" s="49"/>
    </row>
    <row r="94" spans="1:10" hidden="1" x14ac:dyDescent="0.2">
      <c r="A94" s="26" t="s">
        <v>224</v>
      </c>
      <c r="B94" s="27" t="s">
        <v>1129</v>
      </c>
      <c r="D94" s="20"/>
      <c r="E94" s="39"/>
      <c r="F94" s="39"/>
    </row>
    <row r="95" spans="1:10" hidden="1" x14ac:dyDescent="0.2">
      <c r="A95" s="16">
        <f>A91+1</f>
        <v>49</v>
      </c>
      <c r="B95" s="28" t="s">
        <v>782</v>
      </c>
      <c r="F95" s="112" t="e">
        <f>EFB</f>
        <v>#N/A</v>
      </c>
    </row>
    <row r="96" spans="1:10" hidden="1" x14ac:dyDescent="0.2">
      <c r="A96" s="16">
        <f>+A95+1</f>
        <v>50</v>
      </c>
      <c r="B96" s="28" t="s">
        <v>783</v>
      </c>
      <c r="C96" s="44"/>
      <c r="D96" s="37"/>
      <c r="E96" s="44"/>
      <c r="F96" s="112" t="e">
        <f>Expend</f>
        <v>#N/A</v>
      </c>
    </row>
    <row r="97" spans="1:11" hidden="1" x14ac:dyDescent="0.2">
      <c r="A97" s="16">
        <f>+A96+1</f>
        <v>51</v>
      </c>
      <c r="B97" s="111" t="str">
        <f>TEXT(EFBPercent,"00%")&amp;" of General Fund Expenditures + "&amp;TEXT(EFBAdd,"$#,000")</f>
        <v>35% of General Fund Expenditures + $50,000</v>
      </c>
      <c r="C97" s="44"/>
      <c r="F97" s="30" t="e">
        <f>ROUND(+F96*EFBPercent+EFBAdd,2)</f>
        <v>#N/A</v>
      </c>
    </row>
    <row r="98" spans="1:11" hidden="1" x14ac:dyDescent="0.2">
      <c r="A98" s="16">
        <f>+A97+1</f>
        <v>52</v>
      </c>
      <c r="B98" s="16" t="str">
        <f>"Excess Fund Balance Offset (line "&amp;A95&amp;" minus line "&amp;A97&amp;", if less than zero enter zero)"</f>
        <v>Excess Fund Balance Offset (line 49 minus line 51, if less than zero enter zero)</v>
      </c>
      <c r="C98" s="45"/>
      <c r="F98" s="30" t="e">
        <f>MAX(0,F95-F97)</f>
        <v>#N/A</v>
      </c>
    </row>
    <row r="99" spans="1:11" hidden="1" x14ac:dyDescent="0.2">
      <c r="C99" s="45"/>
      <c r="F99" s="75"/>
    </row>
    <row r="100" spans="1:11" ht="10.8" thickBot="1" x14ac:dyDescent="0.25">
      <c r="A100" s="49"/>
      <c r="B100" s="49"/>
      <c r="C100" s="49"/>
      <c r="D100" s="49"/>
      <c r="E100" s="49"/>
      <c r="F100" s="49"/>
    </row>
    <row r="101" spans="1:11" ht="11.25" customHeight="1" x14ac:dyDescent="0.2">
      <c r="A101" s="26" t="s">
        <v>225</v>
      </c>
      <c r="B101" s="27" t="s">
        <v>215</v>
      </c>
      <c r="C101" s="38"/>
    </row>
    <row r="102" spans="1:11" x14ac:dyDescent="0.2">
      <c r="D102" s="16" t="s">
        <v>1169</v>
      </c>
    </row>
    <row r="103" spans="1:11" x14ac:dyDescent="0.2">
      <c r="B103" s="16" t="s">
        <v>778</v>
      </c>
      <c r="D103" s="46" t="s">
        <v>1173</v>
      </c>
      <c r="E103" s="46" t="s">
        <v>19</v>
      </c>
      <c r="F103" s="46" t="s">
        <v>20</v>
      </c>
    </row>
    <row r="104" spans="1:11" x14ac:dyDescent="0.2">
      <c r="A104" s="16">
        <f>+A91+1</f>
        <v>49</v>
      </c>
      <c r="B104" s="47" t="s">
        <v>21</v>
      </c>
      <c r="D104" s="249"/>
      <c r="E104" s="245">
        <v>5.1999999999999995E-4</v>
      </c>
      <c r="F104" s="85">
        <f t="shared" ref="F104:F111" si="10">ROUND(+D104*E104,2)</f>
        <v>0</v>
      </c>
    </row>
    <row r="105" spans="1:11" x14ac:dyDescent="0.2">
      <c r="A105" s="16">
        <f>+A104+1</f>
        <v>50</v>
      </c>
      <c r="B105" s="47" t="s">
        <v>22</v>
      </c>
      <c r="D105" s="249"/>
      <c r="E105" s="245">
        <v>1.1000000000000001E-3</v>
      </c>
      <c r="F105" s="85">
        <f t="shared" si="10"/>
        <v>0</v>
      </c>
    </row>
    <row r="106" spans="1:11" x14ac:dyDescent="0.2">
      <c r="A106" s="16">
        <f t="shared" ref="A106:A117" si="11">+A105+1</f>
        <v>51</v>
      </c>
      <c r="B106" s="47" t="s">
        <v>1157</v>
      </c>
      <c r="D106" s="249"/>
      <c r="E106" s="245">
        <v>4.6800000000000001E-3</v>
      </c>
      <c r="F106" s="85">
        <f t="shared" si="10"/>
        <v>0</v>
      </c>
    </row>
    <row r="107" spans="1:11" x14ac:dyDescent="0.2">
      <c r="A107" s="16">
        <f t="shared" si="11"/>
        <v>52</v>
      </c>
      <c r="B107" s="47" t="s">
        <v>1158</v>
      </c>
      <c r="D107" s="249"/>
      <c r="E107" s="165">
        <v>0.01</v>
      </c>
      <c r="F107" s="85">
        <f t="shared" si="10"/>
        <v>0</v>
      </c>
    </row>
    <row r="108" spans="1:11" x14ac:dyDescent="0.2">
      <c r="A108" s="16">
        <f t="shared" si="11"/>
        <v>53</v>
      </c>
      <c r="B108" s="47" t="s">
        <v>1159</v>
      </c>
      <c r="D108" s="112"/>
      <c r="E108" s="245">
        <v>1.2E-2</v>
      </c>
      <c r="F108" s="85">
        <f t="shared" si="10"/>
        <v>0</v>
      </c>
    </row>
    <row r="109" spans="1:11" ht="10.8" customHeight="1" x14ac:dyDescent="0.2">
      <c r="A109" s="16">
        <f t="shared" si="11"/>
        <v>54</v>
      </c>
      <c r="B109" s="47" t="s">
        <v>1182</v>
      </c>
      <c r="D109" s="249"/>
      <c r="E109" s="165">
        <v>2</v>
      </c>
      <c r="F109" s="85">
        <f t="shared" si="10"/>
        <v>0</v>
      </c>
      <c r="K109" s="231"/>
    </row>
    <row r="110" spans="1:11" x14ac:dyDescent="0.2">
      <c r="A110" s="16">
        <f t="shared" si="11"/>
        <v>55</v>
      </c>
      <c r="B110" s="47" t="s">
        <v>1180</v>
      </c>
      <c r="D110" s="112"/>
      <c r="E110" s="245">
        <v>2.5000000000000001E-4</v>
      </c>
      <c r="F110" s="85">
        <f t="shared" si="10"/>
        <v>0</v>
      </c>
      <c r="K110" s="231"/>
    </row>
    <row r="111" spans="1:11" x14ac:dyDescent="0.2">
      <c r="A111" s="16">
        <f t="shared" si="11"/>
        <v>56</v>
      </c>
      <c r="B111" s="47" t="s">
        <v>1181</v>
      </c>
      <c r="D111" s="112"/>
      <c r="E111" s="245">
        <v>2.5000000000000001E-4</v>
      </c>
      <c r="F111" s="85">
        <f t="shared" si="10"/>
        <v>0</v>
      </c>
    </row>
    <row r="112" spans="1:11" x14ac:dyDescent="0.2">
      <c r="A112" s="16">
        <f t="shared" si="11"/>
        <v>57</v>
      </c>
      <c r="B112" s="47" t="s">
        <v>777</v>
      </c>
      <c r="D112" s="112"/>
      <c r="E112" s="113">
        <v>0</v>
      </c>
      <c r="F112" s="30"/>
    </row>
    <row r="113" spans="1:7" x14ac:dyDescent="0.2">
      <c r="A113" s="248">
        <f t="shared" si="11"/>
        <v>58</v>
      </c>
      <c r="B113" s="16" t="s">
        <v>1170</v>
      </c>
      <c r="F113" s="260">
        <f>SUM(F104:F112)</f>
        <v>0</v>
      </c>
    </row>
    <row r="114" spans="1:7" x14ac:dyDescent="0.2">
      <c r="A114" s="16">
        <f t="shared" si="11"/>
        <v>59</v>
      </c>
      <c r="B114" s="16" t="s">
        <v>1171</v>
      </c>
      <c r="D114" s="113">
        <v>9.0999999999999998E-2</v>
      </c>
      <c r="F114" s="260">
        <f>ROUND(F113*D114,2)</f>
        <v>0</v>
      </c>
    </row>
    <row r="115" spans="1:7" x14ac:dyDescent="0.2">
      <c r="A115" s="16">
        <f t="shared" si="11"/>
        <v>60</v>
      </c>
      <c r="B115" s="16" t="s">
        <v>1172</v>
      </c>
      <c r="E115" s="247"/>
      <c r="F115" s="30">
        <f>ROUND(F114*BaseRate,2)</f>
        <v>0</v>
      </c>
    </row>
    <row r="116" spans="1:7" x14ac:dyDescent="0.2">
      <c r="A116" s="16">
        <f t="shared" si="11"/>
        <v>61</v>
      </c>
      <c r="B116" s="16" t="s">
        <v>203</v>
      </c>
      <c r="D116" s="42"/>
      <c r="E116" s="42"/>
      <c r="F116" s="112" t="e">
        <f>+Data2!BA1</f>
        <v>#N/A</v>
      </c>
    </row>
    <row r="117" spans="1:7" x14ac:dyDescent="0.2">
      <c r="A117" s="16">
        <f t="shared" si="11"/>
        <v>62</v>
      </c>
      <c r="B117" s="16" t="s">
        <v>1006</v>
      </c>
      <c r="F117" s="30">
        <f>IF(ISERROR(MIN(F115:F116)),0,MIN(F115:F116))</f>
        <v>0</v>
      </c>
    </row>
    <row r="119" spans="1:7" ht="11.25" customHeight="1" thickBot="1" x14ac:dyDescent="0.25">
      <c r="A119" s="49"/>
      <c r="B119" s="49"/>
      <c r="C119" s="49"/>
      <c r="D119" s="49"/>
      <c r="E119" s="49"/>
      <c r="F119" s="49"/>
    </row>
    <row r="120" spans="1:7" x14ac:dyDescent="0.2">
      <c r="A120" s="26" t="s">
        <v>839</v>
      </c>
      <c r="B120" s="27" t="s">
        <v>216</v>
      </c>
    </row>
    <row r="121" spans="1:7" x14ac:dyDescent="0.2">
      <c r="A121" s="16">
        <f>+A117+1</f>
        <v>63</v>
      </c>
      <c r="B121" s="16" t="s">
        <v>1100</v>
      </c>
      <c r="F121" s="165" t="e">
        <f>+Baseline</f>
        <v>#N/A</v>
      </c>
    </row>
    <row r="122" spans="1:7" x14ac:dyDescent="0.2">
      <c r="A122" s="16">
        <f>+A121+1</f>
        <v>64</v>
      </c>
      <c r="B122" s="16" t="s">
        <v>1101</v>
      </c>
      <c r="F122" s="165" t="e">
        <f>Baselinewsu</f>
        <v>#N/A</v>
      </c>
    </row>
    <row r="123" spans="1:7" x14ac:dyDescent="0.2">
      <c r="A123" s="16">
        <f>+A122+1</f>
        <v>65</v>
      </c>
      <c r="B123" s="16" t="s">
        <v>868</v>
      </c>
      <c r="F123" s="146" t="e">
        <f>ROUND(IF(F122=0,0,F121/F122),2)</f>
        <v>#N/A</v>
      </c>
    </row>
    <row r="124" spans="1:7" x14ac:dyDescent="0.2">
      <c r="F124" s="20"/>
    </row>
    <row r="125" spans="1:7" ht="20.399999999999999" x14ac:dyDescent="0.2">
      <c r="A125" s="16" t="s">
        <v>992</v>
      </c>
      <c r="C125" s="151" t="s">
        <v>868</v>
      </c>
      <c r="D125" s="151" t="s">
        <v>1016</v>
      </c>
      <c r="E125" s="151" t="s">
        <v>988</v>
      </c>
    </row>
    <row r="126" spans="1:7" x14ac:dyDescent="0.2">
      <c r="A126" s="16">
        <f>A123+1</f>
        <v>66</v>
      </c>
      <c r="B126" s="16" t="s">
        <v>1007</v>
      </c>
      <c r="C126" s="146" t="e">
        <f>+$F$123</f>
        <v>#N/A</v>
      </c>
      <c r="D126" s="115">
        <v>1.02</v>
      </c>
      <c r="E126" s="30" t="e">
        <f>MIN(F49,F122)</f>
        <v>#N/A</v>
      </c>
      <c r="F126" s="30" t="e">
        <f>ROUND(+E126*D126*C126,2)</f>
        <v>#N/A</v>
      </c>
      <c r="G126" s="5"/>
    </row>
    <row r="127" spans="1:7" x14ac:dyDescent="0.2">
      <c r="A127" s="16">
        <f t="shared" ref="A127:A132" si="12">+A126+1</f>
        <v>67</v>
      </c>
      <c r="B127" s="16" t="s">
        <v>1099</v>
      </c>
      <c r="C127" s="146">
        <f>BaseRate</f>
        <v>11633</v>
      </c>
      <c r="D127" s="180"/>
      <c r="E127" s="181" t="e">
        <f>MAX(F49-F122,0)</f>
        <v>#N/A</v>
      </c>
      <c r="F127" s="30" t="e">
        <f>ROUND(E127*C127,2)</f>
        <v>#N/A</v>
      </c>
    </row>
    <row r="128" spans="1:7" x14ac:dyDescent="0.2">
      <c r="A128" s="16">
        <f t="shared" si="12"/>
        <v>68</v>
      </c>
      <c r="B128" s="16" t="s">
        <v>1183</v>
      </c>
      <c r="C128" s="179"/>
      <c r="D128" s="182"/>
      <c r="E128" s="35"/>
      <c r="F128" s="30" t="e">
        <f>SUM(F126:F127)</f>
        <v>#N/A</v>
      </c>
    </row>
    <row r="129" spans="1:9" x14ac:dyDescent="0.2">
      <c r="A129" s="16">
        <f t="shared" si="12"/>
        <v>69</v>
      </c>
      <c r="B129" s="16" t="str">
        <f>"Baseline Funding (from line "&amp;A121&amp;")"</f>
        <v>Baseline Funding (from line 63)</v>
      </c>
      <c r="F129" s="48" t="e">
        <f>Baseline</f>
        <v>#N/A</v>
      </c>
      <c r="I129" s="170"/>
    </row>
    <row r="130" spans="1:9" x14ac:dyDescent="0.2">
      <c r="A130" s="16">
        <f t="shared" si="12"/>
        <v>70</v>
      </c>
      <c r="B130" s="16" t="s">
        <v>993</v>
      </c>
      <c r="F130" s="115">
        <v>1</v>
      </c>
    </row>
    <row r="131" spans="1:9" x14ac:dyDescent="0.2">
      <c r="A131" s="16">
        <f t="shared" si="12"/>
        <v>71</v>
      </c>
      <c r="B131" s="16" t="s">
        <v>994</v>
      </c>
      <c r="F131" s="48" t="e">
        <f>+F129*F130</f>
        <v>#N/A</v>
      </c>
    </row>
    <row r="132" spans="1:9" x14ac:dyDescent="0.2">
      <c r="A132" s="16">
        <f t="shared" si="12"/>
        <v>72</v>
      </c>
      <c r="B132" s="16" t="str">
        <f>"Minimum Increase Amount (greater of line "&amp;A128&amp;" or line "&amp;A131&amp;")"</f>
        <v>Minimum Increase Amount (greater of line 68 or line 71)</v>
      </c>
      <c r="F132" s="30" t="e">
        <f>MAX(F131,F128)</f>
        <v>#N/A</v>
      </c>
    </row>
    <row r="133" spans="1:9" ht="11.25" customHeight="1" thickBot="1" x14ac:dyDescent="0.25">
      <c r="A133" s="49"/>
      <c r="B133" s="49"/>
      <c r="C133" s="49"/>
      <c r="D133" s="49"/>
      <c r="E133" s="49"/>
      <c r="F133" s="49"/>
    </row>
    <row r="134" spans="1:9" x14ac:dyDescent="0.2">
      <c r="A134" s="26" t="s">
        <v>1156</v>
      </c>
      <c r="B134" s="27" t="s">
        <v>1138</v>
      </c>
    </row>
    <row r="135" spans="1:9" x14ac:dyDescent="0.2">
      <c r="A135" s="16">
        <f>A132+1</f>
        <v>73</v>
      </c>
      <c r="B135" s="16" t="s">
        <v>1175</v>
      </c>
      <c r="F135" s="181" t="e">
        <f>SUM(F17:F21)</f>
        <v>#N/A</v>
      </c>
    </row>
    <row r="136" spans="1:9" x14ac:dyDescent="0.2">
      <c r="A136" s="16">
        <f>A135+1</f>
        <v>74</v>
      </c>
      <c r="B136" s="16" t="s">
        <v>1178</v>
      </c>
      <c r="F136" s="112"/>
    </row>
    <row r="137" spans="1:9" x14ac:dyDescent="0.2">
      <c r="A137" s="16">
        <f>A136+1</f>
        <v>75</v>
      </c>
      <c r="B137" s="16" t="s">
        <v>1155</v>
      </c>
      <c r="F137" s="181" t="e">
        <f>MAX(F136-F135,0)</f>
        <v>#N/A</v>
      </c>
    </row>
    <row r="139" spans="1:9" x14ac:dyDescent="0.2">
      <c r="A139" s="16">
        <f>A137+1</f>
        <v>76</v>
      </c>
      <c r="B139" s="16" t="s">
        <v>1176</v>
      </c>
      <c r="F139" s="181" t="e">
        <f>LYOnTime</f>
        <v>#N/A</v>
      </c>
    </row>
    <row r="140" spans="1:9" x14ac:dyDescent="0.2">
      <c r="A140" s="16">
        <f>A139+1</f>
        <v>77</v>
      </c>
      <c r="B140" s="16" t="s">
        <v>1177</v>
      </c>
      <c r="F140" s="181" t="e">
        <f>LYFallEnroll</f>
        <v>#N/A</v>
      </c>
    </row>
    <row r="141" spans="1:9" x14ac:dyDescent="0.2">
      <c r="A141" s="16">
        <f t="shared" ref="A141:A142" si="13">A140+1</f>
        <v>78</v>
      </c>
      <c r="B141" s="16" t="s">
        <v>1175</v>
      </c>
      <c r="F141" s="181" t="e">
        <f>SUM(F17:F21)</f>
        <v>#N/A</v>
      </c>
    </row>
    <row r="142" spans="1:9" x14ac:dyDescent="0.2">
      <c r="A142" s="16">
        <f t="shared" si="13"/>
        <v>79</v>
      </c>
      <c r="B142" s="16" t="s">
        <v>1139</v>
      </c>
      <c r="F142" s="181" t="e">
        <f>IF(F139=0,0,F141-F140)</f>
        <v>#N/A</v>
      </c>
    </row>
  </sheetData>
  <sheetProtection sheet="1" objects="1" scenarios="1"/>
  <phoneticPr fontId="8" type="noConversion"/>
  <pageMargins left="0.7" right="0.7" top="0.25" bottom="0.25" header="0.05" footer="0.05"/>
  <pageSetup fitToWidth="0" fitToHeight="2" orientation="portrait" r:id="rId1"/>
  <headerFooter alignWithMargins="0">
    <oddFooter>&amp;L&amp;8ND Department of Public Instruction&amp;C&amp;8Page &amp;P of &amp;N&amp;R&amp;8&amp;F &amp;D AJT</oddFooter>
  </headerFooter>
  <rowBreaks count="1" manualBreakCount="1">
    <brk id="71"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7030A0"/>
  </sheetPr>
  <dimension ref="A1:F37"/>
  <sheetViews>
    <sheetView workbookViewId="0">
      <selection activeCell="J34" sqref="J34"/>
    </sheetView>
  </sheetViews>
  <sheetFormatPr defaultRowHeight="13.2" x14ac:dyDescent="0.25"/>
  <cols>
    <col min="2" max="2" width="13.5546875" bestFit="1" customWidth="1"/>
    <col min="3" max="3" width="23.33203125" style="150" customWidth="1"/>
    <col min="4" max="4" width="8.88671875" style="150"/>
  </cols>
  <sheetData>
    <row r="1" spans="1:3" x14ac:dyDescent="0.25">
      <c r="A1" t="s">
        <v>886</v>
      </c>
    </row>
    <row r="2" spans="1:3" x14ac:dyDescent="0.25">
      <c r="A2" t="s">
        <v>888</v>
      </c>
    </row>
    <row r="3" spans="1:3" x14ac:dyDescent="0.25">
      <c r="B3" t="s">
        <v>887</v>
      </c>
      <c r="C3" s="150" t="s">
        <v>891</v>
      </c>
    </row>
    <row r="4" spans="1:3" x14ac:dyDescent="0.25">
      <c r="B4" t="s">
        <v>889</v>
      </c>
      <c r="C4" s="150" t="s">
        <v>890</v>
      </c>
    </row>
    <row r="5" spans="1:3" x14ac:dyDescent="0.25">
      <c r="B5" t="s">
        <v>892</v>
      </c>
      <c r="C5" s="150" t="s">
        <v>893</v>
      </c>
    </row>
    <row r="6" spans="1:3" x14ac:dyDescent="0.25">
      <c r="B6" t="s">
        <v>894</v>
      </c>
      <c r="C6" s="150" t="s">
        <v>895</v>
      </c>
    </row>
    <row r="7" spans="1:3" x14ac:dyDescent="0.25">
      <c r="B7" t="s">
        <v>896</v>
      </c>
      <c r="C7" s="150" t="s">
        <v>998</v>
      </c>
    </row>
    <row r="8" spans="1:3" x14ac:dyDescent="0.25">
      <c r="B8" t="s">
        <v>898</v>
      </c>
      <c r="C8" s="150" t="s">
        <v>899</v>
      </c>
    </row>
    <row r="9" spans="1:3" x14ac:dyDescent="0.25">
      <c r="B9" t="s">
        <v>897</v>
      </c>
      <c r="C9" s="150" t="s">
        <v>900</v>
      </c>
    </row>
    <row r="10" spans="1:3" x14ac:dyDescent="0.25">
      <c r="B10" t="s">
        <v>901</v>
      </c>
      <c r="C10" s="150" t="s">
        <v>999</v>
      </c>
    </row>
    <row r="11" spans="1:3" x14ac:dyDescent="0.25">
      <c r="B11" t="s">
        <v>902</v>
      </c>
      <c r="C11" s="150" t="s">
        <v>903</v>
      </c>
    </row>
    <row r="12" spans="1:3" x14ac:dyDescent="0.25">
      <c r="B12" t="s">
        <v>1001</v>
      </c>
      <c r="C12" s="150" t="s">
        <v>1002</v>
      </c>
    </row>
    <row r="15" spans="1:3" x14ac:dyDescent="0.25">
      <c r="A15" t="s">
        <v>904</v>
      </c>
    </row>
    <row r="16" spans="1:3" x14ac:dyDescent="0.25">
      <c r="B16" t="s">
        <v>905</v>
      </c>
    </row>
    <row r="17" spans="1:6" x14ac:dyDescent="0.25">
      <c r="B17" t="s">
        <v>1000</v>
      </c>
    </row>
    <row r="18" spans="1:6" x14ac:dyDescent="0.25">
      <c r="B18" t="s">
        <v>1003</v>
      </c>
    </row>
    <row r="19" spans="1:6" x14ac:dyDescent="0.25">
      <c r="A19" s="166"/>
      <c r="B19" s="166" t="s">
        <v>910</v>
      </c>
      <c r="C19" s="167"/>
      <c r="D19" s="167"/>
      <c r="E19" s="166"/>
      <c r="F19" s="166"/>
    </row>
    <row r="20" spans="1:6" x14ac:dyDescent="0.25">
      <c r="B20" t="s">
        <v>907</v>
      </c>
    </row>
    <row r="22" spans="1:6" x14ac:dyDescent="0.25">
      <c r="B22" t="s">
        <v>906</v>
      </c>
    </row>
    <row r="25" spans="1:6" x14ac:dyDescent="0.25">
      <c r="B25" t="s">
        <v>908</v>
      </c>
    </row>
    <row r="27" spans="1:6" x14ac:dyDescent="0.25">
      <c r="C27" s="150" t="s">
        <v>909</v>
      </c>
      <c r="D27" s="150" t="s">
        <v>925</v>
      </c>
    </row>
    <row r="29" spans="1:6" x14ac:dyDescent="0.25">
      <c r="B29" t="s">
        <v>1062</v>
      </c>
      <c r="C29" s="150" t="s">
        <v>1064</v>
      </c>
      <c r="D29" s="150" t="s">
        <v>924</v>
      </c>
    </row>
    <row r="30" spans="1:6" x14ac:dyDescent="0.25">
      <c r="C30" s="150" t="s">
        <v>1063</v>
      </c>
      <c r="D30" s="150" t="s">
        <v>1004</v>
      </c>
    </row>
    <row r="32" spans="1:6" x14ac:dyDescent="0.25">
      <c r="B32" t="s">
        <v>1065</v>
      </c>
      <c r="C32" s="150" t="s">
        <v>1066</v>
      </c>
      <c r="D32" s="150" t="s">
        <v>1067</v>
      </c>
    </row>
    <row r="33" spans="3:4" x14ac:dyDescent="0.25">
      <c r="C33" s="150" t="s">
        <v>1068</v>
      </c>
      <c r="D33" s="150" t="s">
        <v>1069</v>
      </c>
    </row>
    <row r="34" spans="3:4" x14ac:dyDescent="0.25">
      <c r="C34" s="150" t="s">
        <v>1070</v>
      </c>
      <c r="D34" s="150" t="s">
        <v>1071</v>
      </c>
    </row>
    <row r="35" spans="3:4" x14ac:dyDescent="0.25">
      <c r="C35" s="150" t="s">
        <v>1074</v>
      </c>
      <c r="D35" s="150" t="s">
        <v>1075</v>
      </c>
    </row>
    <row r="36" spans="3:4" x14ac:dyDescent="0.25">
      <c r="D36" s="150" t="s">
        <v>1073</v>
      </c>
    </row>
    <row r="37" spans="3:4" x14ac:dyDescent="0.25">
      <c r="C37" s="150" t="s">
        <v>1072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57"/>
  <sheetViews>
    <sheetView zoomScale="110" zoomScaleNormal="110" workbookViewId="0">
      <pane ySplit="11" topLeftCell="A12" activePane="bottomLeft" state="frozen"/>
      <selection activeCell="H26" sqref="H26"/>
      <selection pane="bottomLeft" activeCell="G13" sqref="G13"/>
    </sheetView>
  </sheetViews>
  <sheetFormatPr defaultColWidth="9.109375" defaultRowHeight="10.199999999999999" x14ac:dyDescent="0.2"/>
  <cols>
    <col min="1" max="1" width="6.44140625" style="9" customWidth="1"/>
    <col min="2" max="2" width="5.33203125" style="9" customWidth="1"/>
    <col min="3" max="3" width="26.88671875" style="9" customWidth="1"/>
    <col min="4" max="4" width="14.33203125" style="9" customWidth="1"/>
    <col min="5" max="5" width="12.6640625" style="9" customWidth="1"/>
    <col min="6" max="6" width="16.33203125" style="13" customWidth="1"/>
    <col min="7" max="9" width="12.6640625" style="9" customWidth="1"/>
    <col min="10" max="10" width="10.44140625" style="9" hidden="1" customWidth="1"/>
    <col min="11" max="11" width="9.5546875" style="9" hidden="1" customWidth="1"/>
    <col min="12" max="12" width="8.44140625" style="9" customWidth="1"/>
    <col min="13" max="13" width="9.109375" style="9"/>
    <col min="14" max="14" width="9.88671875" style="9" bestFit="1" customWidth="1"/>
    <col min="15" max="16" width="9.109375" style="9"/>
    <col min="17" max="17" width="9.88671875" style="9" bestFit="1" customWidth="1"/>
    <col min="18" max="16384" width="9.109375" style="9"/>
  </cols>
  <sheetData>
    <row r="1" spans="1:12" ht="15.6" x14ac:dyDescent="0.3">
      <c r="B1" s="50" t="s">
        <v>784</v>
      </c>
      <c r="I1" s="74"/>
    </row>
    <row r="2" spans="1:12" x14ac:dyDescent="0.2">
      <c r="B2" s="51" t="s">
        <v>204</v>
      </c>
    </row>
    <row r="3" spans="1:12" x14ac:dyDescent="0.2">
      <c r="B3" s="51" t="s">
        <v>1116</v>
      </c>
    </row>
    <row r="5" spans="1:12" x14ac:dyDescent="0.2">
      <c r="A5" s="54"/>
    </row>
    <row r="6" spans="1:12" x14ac:dyDescent="0.2">
      <c r="A6" s="81" t="s">
        <v>206</v>
      </c>
      <c r="C6" s="82" t="str">
        <f>SchoolYear-1 &amp; "-" &amp; SchoolYear</f>
        <v>2026-2027</v>
      </c>
    </row>
    <row r="7" spans="1:12" x14ac:dyDescent="0.2">
      <c r="A7" s="81" t="s">
        <v>960</v>
      </c>
      <c r="B7" s="4"/>
      <c r="C7" s="82">
        <f>+CoDist</f>
        <v>0</v>
      </c>
      <c r="G7" s="73"/>
      <c r="J7" s="13"/>
    </row>
    <row r="8" spans="1:12" x14ac:dyDescent="0.2">
      <c r="A8" s="81" t="str">
        <f>Worksheet!B6</f>
        <v>District Name</v>
      </c>
      <c r="B8" s="5"/>
      <c r="C8" s="81" t="e">
        <f>Dname</f>
        <v>#N/A</v>
      </c>
    </row>
    <row r="9" spans="1:12" x14ac:dyDescent="0.2">
      <c r="A9" s="82" t="s">
        <v>230</v>
      </c>
      <c r="B9" s="5"/>
      <c r="C9" s="5" t="str">
        <f>Pay(D9,4)</f>
        <v xml:space="preserve">August </v>
      </c>
      <c r="D9" s="162" t="s">
        <v>928</v>
      </c>
      <c r="G9" s="73"/>
    </row>
    <row r="10" spans="1:12" x14ac:dyDescent="0.2">
      <c r="A10" s="5" t="s">
        <v>287</v>
      </c>
      <c r="B10" s="4"/>
      <c r="C10" s="5" t="e">
        <f>VendorID</f>
        <v>#N/A</v>
      </c>
    </row>
    <row r="11" spans="1:12" x14ac:dyDescent="0.2">
      <c r="B11" s="54"/>
      <c r="C11" s="55"/>
      <c r="D11" s="55"/>
      <c r="E11" s="55"/>
      <c r="F11" s="42"/>
      <c r="G11" s="55"/>
      <c r="H11" s="55"/>
      <c r="I11" s="96"/>
    </row>
    <row r="12" spans="1:12" s="12" customFormat="1" ht="20.399999999999999" x14ac:dyDescent="0.2">
      <c r="A12" s="79"/>
      <c r="B12" s="79" t="s">
        <v>243</v>
      </c>
      <c r="C12" s="79"/>
      <c r="D12" s="79" t="str">
        <f>IF(Pay(PmtMonth,5)&lt;4,"Est. Entitlement","Net Entitlement")</f>
        <v>Est. Entitlement</v>
      </c>
      <c r="E12" s="79" t="s">
        <v>226</v>
      </c>
      <c r="F12" s="163" t="s">
        <v>688</v>
      </c>
      <c r="G12" s="79" t="s">
        <v>231</v>
      </c>
      <c r="H12" s="79" t="str">
        <f>Pay(D9,4)&amp;" Payment"</f>
        <v>August  Payment</v>
      </c>
      <c r="I12" s="79" t="s">
        <v>228</v>
      </c>
      <c r="J12" s="12" t="s">
        <v>814</v>
      </c>
      <c r="K12" s="12" t="s">
        <v>226</v>
      </c>
    </row>
    <row r="13" spans="1:12" x14ac:dyDescent="0.2">
      <c r="A13" s="55">
        <v>1</v>
      </c>
      <c r="B13" s="55">
        <v>3110</v>
      </c>
      <c r="C13" s="54" t="s">
        <v>780</v>
      </c>
      <c r="D13" s="56">
        <f>ROUND(IF(ISERROR(+Worksheet!F61),0,Worksheet!F61),2)</f>
        <v>0</v>
      </c>
      <c r="E13" s="56">
        <f t="array" ref="E13">SUM(IF(A13=PmtLn,AdjAmt,0))</f>
        <v>-322117.77</v>
      </c>
      <c r="F13" s="56">
        <f t="shared" ref="F13:F18" si="0">+E13+D13</f>
        <v>-322117.77</v>
      </c>
      <c r="G13" s="56" t="e">
        <f t="array" aca="1" ref="G13" ca="1">SUM(IF(Pay(PmtMonth,6)&gt;=PriorSeqMonth,IF(CoDist=PriorCodist,PriorStateAid,0)))</f>
        <v>#NAME?</v>
      </c>
      <c r="H13" s="56" t="e">
        <f ca="1">ROUND(ROUND(Pay(PmtMonth,1)*(D13+J13)+K13,2)-G13,2)</f>
        <v>#NAME?</v>
      </c>
      <c r="I13" s="56" t="e">
        <f t="shared" ref="I13:I18" ca="1" si="1">SUM(G13:H13)</f>
        <v>#NAME?</v>
      </c>
      <c r="J13" s="13">
        <f t="array" ref="J13">SUM(IF(AdjCode&lt;=2,AdjAmt,0))</f>
        <v>-322117.77</v>
      </c>
      <c r="K13" s="13">
        <f>+E13-J13</f>
        <v>0</v>
      </c>
      <c r="L13" s="73"/>
    </row>
    <row r="14" spans="1:12" x14ac:dyDescent="0.2">
      <c r="A14" s="55">
        <v>2</v>
      </c>
      <c r="B14" s="55">
        <v>3130</v>
      </c>
      <c r="C14" s="54" t="s">
        <v>689</v>
      </c>
      <c r="D14" s="56">
        <f>ROUND(IF(ISERROR(+Worksheet!F62),0,Worksheet!F62),2)</f>
        <v>0</v>
      </c>
      <c r="E14" s="56">
        <f t="array" ref="E14">SUM(IF(A14=PmtLn,AdjAmt,0))</f>
        <v>0</v>
      </c>
      <c r="F14" s="56">
        <f t="shared" si="0"/>
        <v>0</v>
      </c>
      <c r="G14" s="56" t="e">
        <f t="array" aca="1" ref="G14" ca="1">SUM(IF(Pay(PmtMonth,6)&gt;=PriorSeqMonth,IF(CoDist=PriorCodist,PriorTransp,0)))</f>
        <v>#NAME?</v>
      </c>
      <c r="H14" s="30" t="e">
        <f ca="1">ROUND(ROUND(Pay(PmtMonth,1)*(D14+J14)+K14,2)-G14,2)</f>
        <v>#NAME?</v>
      </c>
      <c r="I14" s="56" t="e">
        <f t="shared" ca="1" si="1"/>
        <v>#NAME?</v>
      </c>
      <c r="J14" s="13">
        <f t="array" ref="J14">SUM(IF(PmtLn&amp;AdjCode="22",AdjAmt,0))</f>
        <v>0</v>
      </c>
      <c r="K14" s="13">
        <f>+E14-J14</f>
        <v>0</v>
      </c>
    </row>
    <row r="15" spans="1:12" x14ac:dyDescent="0.2">
      <c r="A15" s="55">
        <v>3</v>
      </c>
      <c r="B15" s="55">
        <v>3140</v>
      </c>
      <c r="C15" s="54" t="s">
        <v>770</v>
      </c>
      <c r="D15" s="56" t="e">
        <f>+Worksheet!F63</f>
        <v>#N/A</v>
      </c>
      <c r="E15" s="56">
        <f t="array" ref="E15">SUM(IF(A15=PmtLn,AdjAmt,0))</f>
        <v>0</v>
      </c>
      <c r="F15" s="56" t="e">
        <f t="shared" si="0"/>
        <v>#N/A</v>
      </c>
      <c r="G15" s="56" t="e">
        <f t="array" aca="1" ref="G15" ca="1">SUM(IF(Pay(PmtMonth,6)&gt;=PriorSeqMonth,IF(CoDist=PriorCodist,priorStateChildPlacement,0)))</f>
        <v>#NAME?</v>
      </c>
      <c r="H15" s="56" t="e">
        <f ca="1">ROUND(Pay(PmtMonth,2)*(F15)-G15,2)</f>
        <v>#NAME?</v>
      </c>
      <c r="I15" s="56" t="e">
        <f t="shared" ca="1" si="1"/>
        <v>#NAME?</v>
      </c>
      <c r="L15" s="73"/>
    </row>
    <row r="16" spans="1:12" x14ac:dyDescent="0.2">
      <c r="A16" s="55">
        <v>4</v>
      </c>
      <c r="B16" s="55">
        <v>3200</v>
      </c>
      <c r="C16" s="54" t="s">
        <v>490</v>
      </c>
      <c r="D16" s="56" t="e">
        <f>+Worksheet!F64</f>
        <v>#N/A</v>
      </c>
      <c r="E16" s="56">
        <f t="array" ref="E16">SUM(IF(A16=PmtLn,AdjAmt,0))</f>
        <v>0</v>
      </c>
      <c r="F16" s="56" t="e">
        <f t="shared" si="0"/>
        <v>#N/A</v>
      </c>
      <c r="G16" s="56" t="e">
        <f t="array" aca="1" ref="G16" ca="1">SUM(IF(Pay(PmtMonth,6)&gt;=PriorSeqMonth,IF(CoDist=PriorCodist,priorSpedAgency,0)))</f>
        <v>#NAME?</v>
      </c>
      <c r="H16" s="56" t="e">
        <f ca="1">ROUND(Pay(PmtMonth,2)*(F16)-G16,2)</f>
        <v>#NAME?</v>
      </c>
      <c r="I16" s="56" t="e">
        <f t="shared" ca="1" si="1"/>
        <v>#NAME?</v>
      </c>
      <c r="L16" s="13"/>
    </row>
    <row r="17" spans="1:14" x14ac:dyDescent="0.2">
      <c r="A17" s="55">
        <v>5</v>
      </c>
      <c r="B17" s="57">
        <v>3200</v>
      </c>
      <c r="C17" s="54" t="s">
        <v>694</v>
      </c>
      <c r="D17" s="56" t="e">
        <f>+Worksheet!F65</f>
        <v>#N/A</v>
      </c>
      <c r="E17" s="56">
        <f t="array" ref="E17">SUM(IF(A17=PmtLn,AdjAmt,0))</f>
        <v>0</v>
      </c>
      <c r="F17" s="56" t="e">
        <f t="shared" si="0"/>
        <v>#N/A</v>
      </c>
      <c r="G17" s="56" t="e">
        <f t="array" aca="1" ref="G17" ca="1">SUM(IF(Pay(PmtMonth,6)&gt;=PriorSeqMonth,IF(CoDist=PriorCodist,priorSpedSchool,0)))</f>
        <v>#NAME?</v>
      </c>
      <c r="H17" s="56" t="e">
        <f ca="1">ROUND(Pay(PmtMonth,2)*(F17)-G17,2)</f>
        <v>#NAME?</v>
      </c>
      <c r="I17" s="56" t="e">
        <f t="shared" ca="1" si="1"/>
        <v>#NAME?</v>
      </c>
      <c r="J17" s="73"/>
      <c r="L17" s="73"/>
    </row>
    <row r="18" spans="1:14" x14ac:dyDescent="0.2">
      <c r="A18" s="55">
        <v>6</v>
      </c>
      <c r="B18" s="57">
        <v>3200</v>
      </c>
      <c r="C18" s="54" t="s">
        <v>695</v>
      </c>
      <c r="D18" s="56" t="e">
        <f>+Worksheet!F66</f>
        <v>#N/A</v>
      </c>
      <c r="E18" s="56">
        <f t="array" ref="E18">SUM(IF(A18=PmtLn,AdjAmt,0))</f>
        <v>0</v>
      </c>
      <c r="F18" s="56" t="e">
        <f t="shared" si="0"/>
        <v>#N/A</v>
      </c>
      <c r="G18" s="56" t="e">
        <f t="array" aca="1" ref="G18" ca="1">SUM(IF(Pay(PmtMonth,6)&gt;=PriorSeqMonth,IF(CoDist=PriorCodist,priorSpedBoarding,0)))</f>
        <v>#NAME?</v>
      </c>
      <c r="H18" s="56" t="e">
        <f ca="1">ROUND(Pay(PmtMonth,2)*(F18)-G18,2)</f>
        <v>#NAME?</v>
      </c>
      <c r="I18" s="56" t="e">
        <f t="shared" ca="1" si="1"/>
        <v>#NAME?</v>
      </c>
    </row>
    <row r="19" spans="1:14" x14ac:dyDescent="0.2">
      <c r="A19" s="55">
        <v>7</v>
      </c>
      <c r="B19" s="57">
        <v>3110</v>
      </c>
      <c r="C19" s="54" t="s">
        <v>797</v>
      </c>
      <c r="D19" s="56" t="e">
        <f>+Worksheet!F67</f>
        <v>#N/A</v>
      </c>
      <c r="E19" s="56">
        <f t="array" ref="E19">SUM(IF(A19=PmtLn,AdjAmt,0))</f>
        <v>0</v>
      </c>
      <c r="F19" s="56" t="e">
        <f>+E19+D19</f>
        <v>#N/A</v>
      </c>
      <c r="G19" s="56" t="e">
        <f t="array" aca="1" ref="G19" ca="1">SUM(IF(Pay(PmtMonth,6)&gt;=PriorSeqMonth,IF(CoDist=PriorCodist,priorSpedGiftedTalented,0)))</f>
        <v>#NAME?</v>
      </c>
      <c r="H19" s="56" t="e">
        <f ca="1">ROUND(Pay(PmtMonth,2)*(F19)-G19,2)</f>
        <v>#NAME?</v>
      </c>
      <c r="I19" s="56" t="e">
        <f ca="1">SUM(G19:H19)</f>
        <v>#NAME?</v>
      </c>
      <c r="K19" s="13"/>
    </row>
    <row r="20" spans="1:14" x14ac:dyDescent="0.2">
      <c r="A20" s="55"/>
      <c r="B20" s="57"/>
      <c r="C20" s="54"/>
      <c r="D20" s="56"/>
      <c r="E20" s="56"/>
      <c r="F20" s="56"/>
      <c r="G20" s="56"/>
      <c r="H20" s="56"/>
      <c r="I20" s="56"/>
      <c r="J20" s="9">
        <v>0</v>
      </c>
      <c r="K20" s="13">
        <f>+E20-J20</f>
        <v>0</v>
      </c>
    </row>
    <row r="21" spans="1:14" x14ac:dyDescent="0.2">
      <c r="A21" s="55"/>
      <c r="B21" s="55"/>
      <c r="C21" s="54" t="s">
        <v>785</v>
      </c>
      <c r="D21" s="56" t="e">
        <f t="shared" ref="D21:I21" si="2">SUM(D13:D20)</f>
        <v>#N/A</v>
      </c>
      <c r="E21" s="56">
        <f t="shared" si="2"/>
        <v>-322117.77</v>
      </c>
      <c r="F21" s="56" t="e">
        <f t="shared" si="2"/>
        <v>#N/A</v>
      </c>
      <c r="G21" s="56" t="e">
        <f t="shared" ca="1" si="2"/>
        <v>#NAME?</v>
      </c>
      <c r="H21" s="56" t="e">
        <f t="shared" ca="1" si="2"/>
        <v>#NAME?</v>
      </c>
      <c r="I21" s="56" t="e">
        <f t="shared" ca="1" si="2"/>
        <v>#NAME?</v>
      </c>
    </row>
    <row r="22" spans="1:14" x14ac:dyDescent="0.2">
      <c r="G22" s="73"/>
      <c r="H22" s="73"/>
    </row>
    <row r="23" spans="1:14" x14ac:dyDescent="0.2">
      <c r="H23" s="73"/>
    </row>
    <row r="24" spans="1:14" x14ac:dyDescent="0.2">
      <c r="H24" s="73"/>
    </row>
    <row r="25" spans="1:14" ht="10.8" thickBot="1" x14ac:dyDescent="0.25">
      <c r="A25" s="83" t="s">
        <v>693</v>
      </c>
      <c r="B25" s="83"/>
      <c r="C25" s="83"/>
      <c r="D25" s="83"/>
      <c r="E25" s="83"/>
      <c r="F25" s="164"/>
      <c r="G25" s="83"/>
      <c r="H25" s="58"/>
      <c r="I25" s="58"/>
    </row>
    <row r="26" spans="1:14" s="11" customFormat="1" ht="20.399999999999999" x14ac:dyDescent="0.2">
      <c r="A26" s="84" t="s">
        <v>692</v>
      </c>
      <c r="B26" s="84" t="s">
        <v>227</v>
      </c>
      <c r="C26" s="88" t="s">
        <v>241</v>
      </c>
      <c r="D26" s="86" t="s">
        <v>242</v>
      </c>
      <c r="E26" s="84" t="s">
        <v>243</v>
      </c>
      <c r="F26" s="88" t="s">
        <v>690</v>
      </c>
      <c r="G26" s="88" t="s">
        <v>691</v>
      </c>
    </row>
    <row r="27" spans="1:14" x14ac:dyDescent="0.2">
      <c r="A27" s="72">
        <v>1</v>
      </c>
      <c r="B27" s="4">
        <v>2</v>
      </c>
      <c r="C27" s="5" t="s">
        <v>1174</v>
      </c>
      <c r="D27" s="87"/>
      <c r="E27" s="4">
        <v>3110</v>
      </c>
      <c r="F27" s="168">
        <v>-322117.77</v>
      </c>
      <c r="G27" s="82" t="s">
        <v>1092</v>
      </c>
      <c r="J27" s="64" t="s">
        <v>938</v>
      </c>
      <c r="K27" s="9" t="s">
        <v>945</v>
      </c>
      <c r="N27" s="73"/>
    </row>
    <row r="28" spans="1:14" x14ac:dyDescent="0.2">
      <c r="A28" s="106"/>
      <c r="B28" s="4"/>
      <c r="C28" s="5"/>
      <c r="D28" s="87"/>
      <c r="E28" s="4"/>
      <c r="G28" s="82"/>
      <c r="J28" s="64" t="s">
        <v>939</v>
      </c>
      <c r="K28" s="9" t="s">
        <v>946</v>
      </c>
    </row>
    <row r="29" spans="1:14" x14ac:dyDescent="0.2">
      <c r="A29" s="106"/>
      <c r="B29" s="4"/>
      <c r="C29" s="5"/>
      <c r="D29" s="87"/>
      <c r="E29" s="4"/>
      <c r="G29" s="82"/>
      <c r="J29" s="64" t="s">
        <v>940</v>
      </c>
      <c r="K29" s="9" t="s">
        <v>947</v>
      </c>
    </row>
    <row r="30" spans="1:14" x14ac:dyDescent="0.2">
      <c r="A30" s="106"/>
      <c r="B30" s="4"/>
      <c r="C30" s="5"/>
      <c r="D30" s="87"/>
      <c r="E30" s="4"/>
      <c r="G30" s="82"/>
      <c r="J30" s="64" t="s">
        <v>941</v>
      </c>
      <c r="K30" s="9" t="s">
        <v>948</v>
      </c>
    </row>
    <row r="31" spans="1:14" x14ac:dyDescent="0.2">
      <c r="A31" s="106"/>
      <c r="D31" s="73"/>
      <c r="J31" s="64" t="s">
        <v>942</v>
      </c>
      <c r="K31" s="9" t="s">
        <v>949</v>
      </c>
    </row>
    <row r="32" spans="1:14" x14ac:dyDescent="0.2">
      <c r="A32" s="106"/>
      <c r="J32" s="64" t="s">
        <v>943</v>
      </c>
      <c r="K32" s="9" t="s">
        <v>950</v>
      </c>
    </row>
    <row r="33" spans="1:12" x14ac:dyDescent="0.2">
      <c r="A33" s="106"/>
      <c r="D33" s="73"/>
      <c r="J33" s="64" t="s">
        <v>944</v>
      </c>
      <c r="K33" s="9" t="s">
        <v>951</v>
      </c>
    </row>
    <row r="34" spans="1:12" x14ac:dyDescent="0.2">
      <c r="A34" s="106"/>
      <c r="C34" s="13"/>
      <c r="J34" s="64" t="s">
        <v>928</v>
      </c>
      <c r="K34" s="9" t="s">
        <v>952</v>
      </c>
    </row>
    <row r="35" spans="1:12" x14ac:dyDescent="0.2">
      <c r="A35" s="106"/>
      <c r="J35" s="64" t="s">
        <v>934</v>
      </c>
      <c r="K35" s="9" t="s">
        <v>953</v>
      </c>
    </row>
    <row r="36" spans="1:12" x14ac:dyDescent="0.2">
      <c r="A36" s="106"/>
      <c r="J36" s="64" t="s">
        <v>933</v>
      </c>
      <c r="K36" s="9" t="s">
        <v>954</v>
      </c>
    </row>
    <row r="37" spans="1:12" x14ac:dyDescent="0.2">
      <c r="A37" s="106"/>
      <c r="J37" s="64" t="s">
        <v>935</v>
      </c>
      <c r="K37" s="9" t="s">
        <v>955</v>
      </c>
    </row>
    <row r="38" spans="1:12" x14ac:dyDescent="0.2">
      <c r="A38" s="106"/>
      <c r="J38" s="64" t="s">
        <v>937</v>
      </c>
      <c r="K38" s="9" t="s">
        <v>956</v>
      </c>
    </row>
    <row r="39" spans="1:12" x14ac:dyDescent="0.2">
      <c r="A39" s="106"/>
      <c r="D39" s="73"/>
      <c r="J39" s="64"/>
    </row>
    <row r="40" spans="1:12" x14ac:dyDescent="0.2">
      <c r="A40" s="106"/>
    </row>
    <row r="41" spans="1:12" x14ac:dyDescent="0.2">
      <c r="L41" s="4"/>
    </row>
    <row r="55" spans="17:17" x14ac:dyDescent="0.2">
      <c r="Q55" s="230"/>
    </row>
    <row r="57" spans="17:17" x14ac:dyDescent="0.2">
      <c r="Q57" s="73"/>
    </row>
  </sheetData>
  <phoneticPr fontId="8" type="noConversion"/>
  <dataValidations count="1">
    <dataValidation type="list" allowBlank="1" showInputMessage="1" showErrorMessage="1" sqref="D9" xr:uid="{00000000-0002-0000-0100-000000000000}">
      <formula1>$J$27:$J$38</formula1>
    </dataValidation>
  </dataValidations>
  <pageMargins left="0.75" right="0.5" top="0.75" bottom="1" header="0.5" footer="0.5"/>
  <pageSetup orientation="landscape" r:id="rId1"/>
  <headerFooter alignWithMargins="0">
    <oddFooter>&amp;L&amp;8ND Department of Public Instruction&amp;C&amp;8Page &amp;P of &amp;N&amp;R&amp;8&amp;F &amp;D AJT</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57"/>
  <sheetViews>
    <sheetView workbookViewId="0">
      <selection activeCell="E50" sqref="E50"/>
    </sheetView>
  </sheetViews>
  <sheetFormatPr defaultColWidth="9.109375" defaultRowHeight="10.199999999999999" x14ac:dyDescent="0.2"/>
  <cols>
    <col min="1" max="1" width="9.109375" style="4"/>
    <col min="2" max="2" width="12.88671875" style="4" bestFit="1" customWidth="1"/>
    <col min="3" max="4" width="9.109375" style="4"/>
    <col min="5" max="5" width="7.109375" style="4" bestFit="1" customWidth="1"/>
    <col min="6" max="6" width="9.88671875" style="4" bestFit="1" customWidth="1"/>
    <col min="7" max="7" width="7.109375" style="4" customWidth="1"/>
    <col min="8" max="8" width="9.109375" style="4"/>
    <col min="9" max="9" width="9.6640625" style="4" customWidth="1"/>
    <col min="10" max="10" width="6.6640625" style="4" bestFit="1" customWidth="1"/>
    <col min="11" max="11" width="6.88671875" style="4" bestFit="1" customWidth="1"/>
    <col min="12" max="13" width="8.44140625" style="4" bestFit="1" customWidth="1"/>
    <col min="14" max="14" width="5.5546875" style="4" bestFit="1" customWidth="1"/>
    <col min="15" max="16384" width="9.109375" style="4"/>
  </cols>
  <sheetData>
    <row r="1" spans="1:10" x14ac:dyDescent="0.2">
      <c r="A1" s="4" t="s">
        <v>248</v>
      </c>
      <c r="D1" s="5"/>
      <c r="E1" s="5"/>
      <c r="F1" s="5"/>
    </row>
    <row r="2" spans="1:10" ht="10.8" thickBot="1" x14ac:dyDescent="0.25">
      <c r="A2" s="285" t="s">
        <v>299</v>
      </c>
      <c r="B2" s="285"/>
      <c r="C2" s="285"/>
      <c r="D2" s="285"/>
      <c r="E2" s="285"/>
      <c r="F2" s="5" t="s">
        <v>300</v>
      </c>
    </row>
    <row r="3" spans="1:10" ht="10.8" thickBot="1" x14ac:dyDescent="0.25">
      <c r="A3" s="254" t="s">
        <v>301</v>
      </c>
      <c r="B3" s="254">
        <v>0</v>
      </c>
      <c r="C3" s="254" t="s">
        <v>1024</v>
      </c>
      <c r="D3" s="255" t="s">
        <v>295</v>
      </c>
      <c r="E3" s="256">
        <v>1.67</v>
      </c>
      <c r="F3" s="257">
        <v>0</v>
      </c>
      <c r="G3" s="99"/>
    </row>
    <row r="4" spans="1:10" x14ac:dyDescent="0.2">
      <c r="A4" s="243"/>
      <c r="B4" s="243">
        <v>110</v>
      </c>
      <c r="C4" s="243" t="s">
        <v>1023</v>
      </c>
      <c r="D4" s="244" t="s">
        <v>295</v>
      </c>
      <c r="E4" s="258">
        <v>1.63</v>
      </c>
      <c r="F4" s="259">
        <f>G4</f>
        <v>183.68</v>
      </c>
      <c r="G4" s="236">
        <f t="shared" ref="G4:G39" si="0">ROUND((+B4-0.01)*E3,2)</f>
        <v>183.68</v>
      </c>
    </row>
    <row r="5" spans="1:10" x14ac:dyDescent="0.2">
      <c r="A5" s="243" t="s">
        <v>972</v>
      </c>
      <c r="B5" s="243">
        <v>125</v>
      </c>
      <c r="C5" s="243" t="s">
        <v>973</v>
      </c>
      <c r="D5" s="244" t="s">
        <v>295</v>
      </c>
      <c r="E5" s="258">
        <v>1.6</v>
      </c>
      <c r="F5" s="259">
        <f t="shared" ref="F5:F39" si="1">G5</f>
        <v>203.73</v>
      </c>
      <c r="G5" s="237">
        <f t="shared" si="0"/>
        <v>203.73</v>
      </c>
    </row>
    <row r="6" spans="1:10" x14ac:dyDescent="0.2">
      <c r="A6" s="243"/>
      <c r="B6" s="243">
        <v>130</v>
      </c>
      <c r="C6" s="243" t="s">
        <v>974</v>
      </c>
      <c r="D6" s="244" t="s">
        <v>295</v>
      </c>
      <c r="E6" s="258">
        <v>1.56</v>
      </c>
      <c r="F6" s="259">
        <f t="shared" si="1"/>
        <v>207.98</v>
      </c>
      <c r="G6" s="237">
        <f t="shared" si="0"/>
        <v>207.98</v>
      </c>
    </row>
    <row r="7" spans="1:10" x14ac:dyDescent="0.2">
      <c r="A7" s="243"/>
      <c r="B7" s="243">
        <v>135</v>
      </c>
      <c r="C7" s="243" t="s">
        <v>975</v>
      </c>
      <c r="D7" s="244" t="s">
        <v>295</v>
      </c>
      <c r="E7" s="258">
        <v>1.53</v>
      </c>
      <c r="F7" s="259">
        <f t="shared" si="1"/>
        <v>210.58</v>
      </c>
      <c r="G7" s="237">
        <f>ROUND((+B7-0.01)*E6,2)</f>
        <v>210.58</v>
      </c>
      <c r="J7" s="5"/>
    </row>
    <row r="8" spans="1:10" x14ac:dyDescent="0.2">
      <c r="A8" s="243"/>
      <c r="B8" s="243">
        <v>140</v>
      </c>
      <c r="C8" s="243" t="s">
        <v>976</v>
      </c>
      <c r="D8" s="244" t="s">
        <v>295</v>
      </c>
      <c r="E8" s="258">
        <v>1.49</v>
      </c>
      <c r="F8" s="259">
        <f t="shared" si="1"/>
        <v>214.18</v>
      </c>
      <c r="G8" s="237">
        <f t="shared" si="0"/>
        <v>214.18</v>
      </c>
    </row>
    <row r="9" spans="1:10" x14ac:dyDescent="0.2">
      <c r="A9" s="243"/>
      <c r="B9" s="243">
        <v>145</v>
      </c>
      <c r="C9" s="243" t="s">
        <v>977</v>
      </c>
      <c r="D9" s="244" t="s">
        <v>295</v>
      </c>
      <c r="E9" s="258">
        <v>1.46</v>
      </c>
      <c r="F9" s="259">
        <f t="shared" si="1"/>
        <v>216.04</v>
      </c>
      <c r="G9" s="237">
        <f t="shared" si="0"/>
        <v>216.04</v>
      </c>
    </row>
    <row r="10" spans="1:10" x14ac:dyDescent="0.2">
      <c r="A10" s="243"/>
      <c r="B10" s="243">
        <v>150</v>
      </c>
      <c r="C10" s="243" t="s">
        <v>978</v>
      </c>
      <c r="D10" s="244" t="s">
        <v>295</v>
      </c>
      <c r="E10" s="258">
        <v>1.43</v>
      </c>
      <c r="F10" s="259">
        <f t="shared" si="1"/>
        <v>218.99</v>
      </c>
      <c r="G10" s="237">
        <f t="shared" si="0"/>
        <v>218.99</v>
      </c>
    </row>
    <row r="11" spans="1:10" x14ac:dyDescent="0.2">
      <c r="A11" s="243"/>
      <c r="B11" s="243">
        <v>155</v>
      </c>
      <c r="C11" s="243" t="s">
        <v>979</v>
      </c>
      <c r="D11" s="244" t="s">
        <v>295</v>
      </c>
      <c r="E11" s="258">
        <v>1.4</v>
      </c>
      <c r="F11" s="259">
        <f t="shared" si="1"/>
        <v>221.64</v>
      </c>
      <c r="G11" s="237">
        <f t="shared" si="0"/>
        <v>221.64</v>
      </c>
    </row>
    <row r="12" spans="1:10" x14ac:dyDescent="0.2">
      <c r="A12" s="243"/>
      <c r="B12" s="243">
        <v>160</v>
      </c>
      <c r="C12" s="243" t="s">
        <v>980</v>
      </c>
      <c r="D12" s="244" t="s">
        <v>295</v>
      </c>
      <c r="E12" s="258">
        <v>1.37</v>
      </c>
      <c r="F12" s="259">
        <f t="shared" si="1"/>
        <v>223.99</v>
      </c>
      <c r="G12" s="237">
        <f t="shared" si="0"/>
        <v>223.99</v>
      </c>
    </row>
    <row r="13" spans="1:10" x14ac:dyDescent="0.2">
      <c r="A13" s="243"/>
      <c r="B13" s="243">
        <v>165</v>
      </c>
      <c r="C13" s="243" t="s">
        <v>981</v>
      </c>
      <c r="D13" s="244" t="s">
        <v>295</v>
      </c>
      <c r="E13" s="258">
        <v>1.34</v>
      </c>
      <c r="F13" s="259">
        <f t="shared" si="1"/>
        <v>226.04</v>
      </c>
      <c r="G13" s="237">
        <f t="shared" si="0"/>
        <v>226.04</v>
      </c>
    </row>
    <row r="14" spans="1:10" x14ac:dyDescent="0.2">
      <c r="A14" s="243"/>
      <c r="B14" s="243">
        <v>175</v>
      </c>
      <c r="C14" s="243" t="s">
        <v>982</v>
      </c>
      <c r="D14" s="244" t="s">
        <v>295</v>
      </c>
      <c r="E14" s="258">
        <v>1.32</v>
      </c>
      <c r="F14" s="259">
        <f t="shared" si="1"/>
        <v>234.49</v>
      </c>
      <c r="G14" s="237">
        <f t="shared" si="0"/>
        <v>234.49</v>
      </c>
    </row>
    <row r="15" spans="1:10" x14ac:dyDescent="0.2">
      <c r="A15" s="243" t="s">
        <v>302</v>
      </c>
      <c r="B15" s="243">
        <v>185</v>
      </c>
      <c r="C15" s="243" t="s">
        <v>303</v>
      </c>
      <c r="D15" s="244" t="s">
        <v>295</v>
      </c>
      <c r="E15" s="258">
        <v>1.29</v>
      </c>
      <c r="F15" s="259">
        <f t="shared" si="1"/>
        <v>244.19</v>
      </c>
      <c r="G15" s="237">
        <f t="shared" si="0"/>
        <v>244.19</v>
      </c>
    </row>
    <row r="16" spans="1:10" x14ac:dyDescent="0.2">
      <c r="A16" s="243"/>
      <c r="B16" s="243">
        <v>200</v>
      </c>
      <c r="C16" s="243" t="s">
        <v>304</v>
      </c>
      <c r="D16" s="244" t="s">
        <v>295</v>
      </c>
      <c r="E16" s="258">
        <v>1.27</v>
      </c>
      <c r="F16" s="259">
        <f t="shared" si="1"/>
        <v>257.99</v>
      </c>
      <c r="G16" s="237">
        <f t="shared" si="0"/>
        <v>257.99</v>
      </c>
    </row>
    <row r="17" spans="1:7" x14ac:dyDescent="0.2">
      <c r="A17" s="243"/>
      <c r="B17" s="243">
        <v>215</v>
      </c>
      <c r="C17" s="243" t="s">
        <v>305</v>
      </c>
      <c r="D17" s="244" t="s">
        <v>295</v>
      </c>
      <c r="E17" s="258">
        <v>1.24</v>
      </c>
      <c r="F17" s="259">
        <f t="shared" si="1"/>
        <v>273.04000000000002</v>
      </c>
      <c r="G17" s="237">
        <f t="shared" si="0"/>
        <v>273.04000000000002</v>
      </c>
    </row>
    <row r="18" spans="1:7" ht="10.8" thickBot="1" x14ac:dyDescent="0.25">
      <c r="B18" s="4">
        <v>230</v>
      </c>
      <c r="C18" s="4" t="s">
        <v>306</v>
      </c>
      <c r="D18" s="5" t="s">
        <v>295</v>
      </c>
      <c r="E18" s="240">
        <v>1.22</v>
      </c>
      <c r="F18" s="99">
        <f t="shared" si="1"/>
        <v>285.19</v>
      </c>
      <c r="G18" s="238">
        <f t="shared" si="0"/>
        <v>285.19</v>
      </c>
    </row>
    <row r="19" spans="1:7" x14ac:dyDescent="0.2">
      <c r="B19" s="4">
        <v>245</v>
      </c>
      <c r="C19" s="4" t="s">
        <v>307</v>
      </c>
      <c r="D19" s="5" t="s">
        <v>295</v>
      </c>
      <c r="E19" s="5">
        <v>1.2</v>
      </c>
      <c r="F19" s="99">
        <f t="shared" si="1"/>
        <v>298.89</v>
      </c>
      <c r="G19" s="99">
        <f t="shared" si="0"/>
        <v>298.89</v>
      </c>
    </row>
    <row r="20" spans="1:7" x14ac:dyDescent="0.2">
      <c r="B20" s="4">
        <v>260</v>
      </c>
      <c r="C20" s="4" t="s">
        <v>308</v>
      </c>
      <c r="D20" s="5" t="s">
        <v>295</v>
      </c>
      <c r="E20" s="5">
        <v>1.19</v>
      </c>
      <c r="F20" s="99">
        <f t="shared" si="1"/>
        <v>311.99</v>
      </c>
      <c r="G20" s="99">
        <f t="shared" si="0"/>
        <v>311.99</v>
      </c>
    </row>
    <row r="21" spans="1:7" x14ac:dyDescent="0.2">
      <c r="B21" s="4">
        <v>270</v>
      </c>
      <c r="C21" s="4" t="s">
        <v>309</v>
      </c>
      <c r="D21" s="5" t="s">
        <v>295</v>
      </c>
      <c r="E21" s="5">
        <v>1.18</v>
      </c>
      <c r="F21" s="99">
        <f t="shared" si="1"/>
        <v>321.29000000000002</v>
      </c>
      <c r="G21" s="99">
        <f t="shared" si="0"/>
        <v>321.29000000000002</v>
      </c>
    </row>
    <row r="22" spans="1:7" x14ac:dyDescent="0.2">
      <c r="B22" s="4">
        <v>275</v>
      </c>
      <c r="C22" s="4" t="s">
        <v>310</v>
      </c>
      <c r="D22" s="5" t="s">
        <v>295</v>
      </c>
      <c r="E22" s="5">
        <v>1.17</v>
      </c>
      <c r="F22" s="99">
        <f t="shared" si="1"/>
        <v>324.49</v>
      </c>
      <c r="G22" s="99">
        <f t="shared" si="0"/>
        <v>324.49</v>
      </c>
    </row>
    <row r="23" spans="1:7" x14ac:dyDescent="0.2">
      <c r="B23" s="4">
        <v>280</v>
      </c>
      <c r="C23" s="4" t="s">
        <v>311</v>
      </c>
      <c r="D23" s="5" t="s">
        <v>295</v>
      </c>
      <c r="E23" s="5">
        <v>1.1599999999999999</v>
      </c>
      <c r="F23" s="99">
        <f t="shared" si="1"/>
        <v>327.58999999999997</v>
      </c>
      <c r="G23" s="99">
        <f t="shared" si="0"/>
        <v>327.58999999999997</v>
      </c>
    </row>
    <row r="24" spans="1:7" x14ac:dyDescent="0.2">
      <c r="B24" s="4">
        <v>285</v>
      </c>
      <c r="C24" s="4" t="s">
        <v>312</v>
      </c>
      <c r="D24" s="5" t="s">
        <v>295</v>
      </c>
      <c r="E24" s="5">
        <v>1.1499999999999999</v>
      </c>
      <c r="F24" s="99">
        <f t="shared" si="1"/>
        <v>330.59</v>
      </c>
      <c r="G24" s="99">
        <f t="shared" si="0"/>
        <v>330.59</v>
      </c>
    </row>
    <row r="25" spans="1:7" x14ac:dyDescent="0.2">
      <c r="B25" s="4">
        <v>290</v>
      </c>
      <c r="C25" s="4" t="s">
        <v>313</v>
      </c>
      <c r="D25" s="5" t="s">
        <v>295</v>
      </c>
      <c r="E25" s="5">
        <v>1.1399999999999999</v>
      </c>
      <c r="F25" s="99">
        <f t="shared" si="1"/>
        <v>333.49</v>
      </c>
      <c r="G25" s="99">
        <f t="shared" si="0"/>
        <v>333.49</v>
      </c>
    </row>
    <row r="26" spans="1:7" x14ac:dyDescent="0.2">
      <c r="B26" s="4">
        <v>295</v>
      </c>
      <c r="C26" s="4" t="s">
        <v>314</v>
      </c>
      <c r="D26" s="5" t="s">
        <v>295</v>
      </c>
      <c r="E26" s="5">
        <v>1.1299999999999999</v>
      </c>
      <c r="F26" s="99">
        <f t="shared" si="1"/>
        <v>336.29</v>
      </c>
      <c r="G26" s="99">
        <f>ROUND((+B26-0.01)*E25,2)</f>
        <v>336.29</v>
      </c>
    </row>
    <row r="27" spans="1:7" x14ac:dyDescent="0.2">
      <c r="B27" s="4">
        <v>300</v>
      </c>
      <c r="C27" s="4" t="s">
        <v>315</v>
      </c>
      <c r="D27" s="5" t="s">
        <v>295</v>
      </c>
      <c r="E27" s="5">
        <v>1.1200000000000001</v>
      </c>
      <c r="F27" s="99">
        <f t="shared" si="1"/>
        <v>338.99</v>
      </c>
      <c r="G27" s="99">
        <f t="shared" si="0"/>
        <v>338.99</v>
      </c>
    </row>
    <row r="28" spans="1:7" x14ac:dyDescent="0.2">
      <c r="B28" s="4">
        <v>305</v>
      </c>
      <c r="C28" s="4" t="s">
        <v>316</v>
      </c>
      <c r="D28" s="5" t="s">
        <v>295</v>
      </c>
      <c r="E28" s="5">
        <v>1.1100000000000001</v>
      </c>
      <c r="F28" s="99">
        <f t="shared" si="1"/>
        <v>341.59</v>
      </c>
      <c r="G28" s="99">
        <f t="shared" si="0"/>
        <v>341.59</v>
      </c>
    </row>
    <row r="29" spans="1:7" x14ac:dyDescent="0.2">
      <c r="B29" s="4">
        <v>310</v>
      </c>
      <c r="C29" s="4" t="s">
        <v>317</v>
      </c>
      <c r="D29" s="5" t="s">
        <v>295</v>
      </c>
      <c r="E29" s="5">
        <v>1.1000000000000001</v>
      </c>
      <c r="F29" s="99">
        <f t="shared" si="1"/>
        <v>344.09</v>
      </c>
      <c r="G29" s="99">
        <f t="shared" si="0"/>
        <v>344.09</v>
      </c>
    </row>
    <row r="30" spans="1:7" x14ac:dyDescent="0.2">
      <c r="B30" s="4">
        <v>320</v>
      </c>
      <c r="C30" s="4" t="s">
        <v>318</v>
      </c>
      <c r="D30" s="1" t="s">
        <v>295</v>
      </c>
      <c r="E30" s="1">
        <v>1.0900000000000001</v>
      </c>
      <c r="F30" s="99">
        <f t="shared" si="1"/>
        <v>351.99</v>
      </c>
      <c r="G30" s="99">
        <f t="shared" si="0"/>
        <v>351.99</v>
      </c>
    </row>
    <row r="31" spans="1:7" x14ac:dyDescent="0.2">
      <c r="B31" s="4">
        <v>335</v>
      </c>
      <c r="C31" s="4" t="s">
        <v>319</v>
      </c>
      <c r="D31" s="5" t="s">
        <v>295</v>
      </c>
      <c r="E31" s="5">
        <v>1.08</v>
      </c>
      <c r="F31" s="99">
        <f t="shared" si="1"/>
        <v>365.14</v>
      </c>
      <c r="G31" s="99">
        <f t="shared" si="0"/>
        <v>365.14</v>
      </c>
    </row>
    <row r="32" spans="1:7" x14ac:dyDescent="0.2">
      <c r="B32" s="4">
        <v>350</v>
      </c>
      <c r="C32" s="4" t="s">
        <v>320</v>
      </c>
      <c r="D32" s="5" t="s">
        <v>295</v>
      </c>
      <c r="E32" s="1">
        <v>1.07</v>
      </c>
      <c r="F32" s="99">
        <f t="shared" si="1"/>
        <v>377.99</v>
      </c>
      <c r="G32" s="99">
        <f t="shared" si="0"/>
        <v>377.99</v>
      </c>
    </row>
    <row r="33" spans="1:10" x14ac:dyDescent="0.2">
      <c r="B33" s="4">
        <v>360</v>
      </c>
      <c r="C33" s="4" t="s">
        <v>321</v>
      </c>
      <c r="D33" s="5" t="s">
        <v>295</v>
      </c>
      <c r="E33" s="5">
        <v>1.06</v>
      </c>
      <c r="F33" s="99">
        <f t="shared" si="1"/>
        <v>385.19</v>
      </c>
      <c r="G33" s="99">
        <f t="shared" si="0"/>
        <v>385.19</v>
      </c>
    </row>
    <row r="34" spans="1:10" x14ac:dyDescent="0.2">
      <c r="B34" s="4">
        <v>370</v>
      </c>
      <c r="C34" s="4" t="s">
        <v>322</v>
      </c>
      <c r="D34" s="5" t="s">
        <v>295</v>
      </c>
      <c r="E34" s="1">
        <v>1.05</v>
      </c>
      <c r="F34" s="99">
        <f t="shared" si="1"/>
        <v>392.19</v>
      </c>
      <c r="G34" s="99">
        <f t="shared" si="0"/>
        <v>392.19</v>
      </c>
    </row>
    <row r="35" spans="1:10" x14ac:dyDescent="0.2">
      <c r="B35" s="4">
        <v>380</v>
      </c>
      <c r="C35" s="4" t="s">
        <v>323</v>
      </c>
      <c r="D35" s="5" t="s">
        <v>295</v>
      </c>
      <c r="E35" s="5">
        <v>1.04</v>
      </c>
      <c r="F35" s="99">
        <f t="shared" si="1"/>
        <v>398.99</v>
      </c>
      <c r="G35" s="99">
        <f t="shared" si="0"/>
        <v>398.99</v>
      </c>
    </row>
    <row r="36" spans="1:10" x14ac:dyDescent="0.2">
      <c r="B36" s="4">
        <v>390</v>
      </c>
      <c r="C36" s="4" t="s">
        <v>324</v>
      </c>
      <c r="D36" s="5" t="s">
        <v>295</v>
      </c>
      <c r="E36" s="1">
        <v>1.03</v>
      </c>
      <c r="F36" s="99">
        <f t="shared" si="1"/>
        <v>405.59</v>
      </c>
      <c r="G36" s="99">
        <f t="shared" si="0"/>
        <v>405.59</v>
      </c>
    </row>
    <row r="37" spans="1:10" x14ac:dyDescent="0.2">
      <c r="B37" s="4">
        <v>400</v>
      </c>
      <c r="C37" s="4" t="s">
        <v>325</v>
      </c>
      <c r="D37" s="5" t="s">
        <v>295</v>
      </c>
      <c r="E37" s="5">
        <v>1.02</v>
      </c>
      <c r="F37" s="99">
        <f t="shared" si="1"/>
        <v>411.99</v>
      </c>
      <c r="G37" s="99">
        <f t="shared" si="0"/>
        <v>411.99</v>
      </c>
    </row>
    <row r="38" spans="1:10" x14ac:dyDescent="0.2">
      <c r="A38" s="3"/>
      <c r="B38" s="3">
        <v>600</v>
      </c>
      <c r="C38" s="3" t="s">
        <v>326</v>
      </c>
      <c r="D38" s="2" t="s">
        <v>295</v>
      </c>
      <c r="E38" s="2">
        <v>1.01</v>
      </c>
      <c r="F38" s="99">
        <f t="shared" si="1"/>
        <v>611.99</v>
      </c>
      <c r="G38" s="99">
        <f t="shared" si="0"/>
        <v>611.99</v>
      </c>
    </row>
    <row r="39" spans="1:10" x14ac:dyDescent="0.2">
      <c r="A39" s="4" t="s">
        <v>327</v>
      </c>
      <c r="B39" s="4">
        <v>900</v>
      </c>
      <c r="C39" s="4" t="s">
        <v>328</v>
      </c>
      <c r="D39" s="5" t="s">
        <v>295</v>
      </c>
      <c r="E39" s="5">
        <v>1</v>
      </c>
      <c r="F39" s="99">
        <f t="shared" si="1"/>
        <v>908.99</v>
      </c>
      <c r="G39" s="99">
        <f t="shared" si="0"/>
        <v>908.99</v>
      </c>
    </row>
    <row r="40" spans="1:10" x14ac:dyDescent="0.2">
      <c r="D40" s="5"/>
      <c r="E40" s="5"/>
      <c r="F40" s="5"/>
    </row>
    <row r="41" spans="1:10" x14ac:dyDescent="0.2">
      <c r="D41" s="5"/>
      <c r="E41" s="5"/>
      <c r="F41" s="5"/>
    </row>
    <row r="42" spans="1:10" x14ac:dyDescent="0.2">
      <c r="A42" s="285" t="s">
        <v>329</v>
      </c>
      <c r="B42" s="285"/>
      <c r="C42" s="285"/>
      <c r="D42" s="285"/>
      <c r="E42" s="285"/>
      <c r="F42" s="5"/>
    </row>
    <row r="43" spans="1:10" x14ac:dyDescent="0.2">
      <c r="A43" s="4" t="s">
        <v>301</v>
      </c>
      <c r="B43" s="4">
        <v>0</v>
      </c>
      <c r="C43" s="4" t="s">
        <v>330</v>
      </c>
      <c r="D43" s="5" t="s">
        <v>295</v>
      </c>
      <c r="E43" s="5">
        <v>1.25</v>
      </c>
      <c r="F43" s="5"/>
    </row>
    <row r="44" spans="1:10" x14ac:dyDescent="0.2">
      <c r="A44" s="4" t="s">
        <v>302</v>
      </c>
      <c r="B44" s="4">
        <v>125</v>
      </c>
      <c r="C44" s="4" t="s">
        <v>331</v>
      </c>
      <c r="D44" s="5" t="s">
        <v>295</v>
      </c>
      <c r="E44" s="5">
        <v>1.17</v>
      </c>
      <c r="F44" s="5">
        <v>156.24</v>
      </c>
    </row>
    <row r="45" spans="1:10" x14ac:dyDescent="0.2">
      <c r="A45" s="4" t="s">
        <v>327</v>
      </c>
      <c r="B45" s="4">
        <v>200</v>
      </c>
      <c r="C45" s="4" t="s">
        <v>332</v>
      </c>
      <c r="D45" s="5" t="s">
        <v>295</v>
      </c>
      <c r="E45" s="5">
        <v>1</v>
      </c>
      <c r="F45" s="5">
        <v>233.99</v>
      </c>
    </row>
    <row r="46" spans="1:10" x14ac:dyDescent="0.2">
      <c r="D46" s="5"/>
      <c r="E46" s="5"/>
      <c r="F46" s="5"/>
    </row>
    <row r="47" spans="1:10" x14ac:dyDescent="0.2">
      <c r="D47" s="5"/>
      <c r="E47" s="5"/>
      <c r="F47" s="5"/>
      <c r="J47" s="99"/>
    </row>
    <row r="48" spans="1:10" x14ac:dyDescent="0.2">
      <c r="A48" s="285" t="s">
        <v>333</v>
      </c>
      <c r="B48" s="285"/>
      <c r="C48" s="285"/>
      <c r="D48" s="285"/>
      <c r="E48" s="285"/>
      <c r="F48" s="5" t="s">
        <v>967</v>
      </c>
    </row>
    <row r="49" spans="1:13" ht="20.399999999999999" x14ac:dyDescent="0.2">
      <c r="A49" s="6" t="s">
        <v>334</v>
      </c>
      <c r="B49" s="6" t="s">
        <v>919</v>
      </c>
      <c r="C49" s="6" t="s">
        <v>335</v>
      </c>
      <c r="D49" s="6" t="s">
        <v>336</v>
      </c>
      <c r="E49" s="7" t="s">
        <v>337</v>
      </c>
      <c r="F49" s="6" t="s">
        <v>338</v>
      </c>
      <c r="G49" s="6" t="s">
        <v>786</v>
      </c>
      <c r="I49" s="4" t="s">
        <v>806</v>
      </c>
      <c r="J49" s="4" t="s">
        <v>788</v>
      </c>
      <c r="K49" s="4" t="s">
        <v>787</v>
      </c>
      <c r="L49" s="4" t="s">
        <v>804</v>
      </c>
      <c r="M49" s="4" t="s">
        <v>805</v>
      </c>
    </row>
    <row r="50" spans="1:13" x14ac:dyDescent="0.2">
      <c r="A50" s="4" t="s">
        <v>1107</v>
      </c>
      <c r="B50" s="198">
        <v>1183</v>
      </c>
      <c r="E50" s="8">
        <v>1.67</v>
      </c>
    </row>
    <row r="51" spans="1:13" x14ac:dyDescent="0.2">
      <c r="A51" s="4" t="s">
        <v>651</v>
      </c>
      <c r="E51" s="8">
        <v>1.2836000000000001</v>
      </c>
    </row>
    <row r="52" spans="1:13" x14ac:dyDescent="0.2">
      <c r="A52" s="4" t="s">
        <v>599</v>
      </c>
      <c r="E52" s="8">
        <v>1.4518</v>
      </c>
      <c r="F52" s="5"/>
    </row>
    <row r="53" spans="1:13" x14ac:dyDescent="0.2">
      <c r="A53" s="4" t="s">
        <v>566</v>
      </c>
      <c r="E53" s="8">
        <v>1.3711</v>
      </c>
      <c r="F53" s="5"/>
    </row>
    <row r="54" spans="1:13" x14ac:dyDescent="0.2">
      <c r="A54" s="4" t="s">
        <v>594</v>
      </c>
      <c r="E54" s="8">
        <v>1.5777000000000001</v>
      </c>
      <c r="F54" s="5"/>
    </row>
    <row r="55" spans="1:13" x14ac:dyDescent="0.2">
      <c r="A55" s="4" t="s">
        <v>554</v>
      </c>
      <c r="E55" s="8">
        <v>1.67</v>
      </c>
      <c r="F55" s="5"/>
    </row>
    <row r="56" spans="1:13" x14ac:dyDescent="0.2">
      <c r="A56" s="4" t="s">
        <v>1121</v>
      </c>
      <c r="B56" s="72"/>
      <c r="E56" s="8">
        <v>1.014</v>
      </c>
      <c r="F56" s="4">
        <v>202122</v>
      </c>
      <c r="G56" s="4">
        <v>4</v>
      </c>
    </row>
    <row r="57" spans="1:13" x14ac:dyDescent="0.2">
      <c r="A57" s="4" t="s">
        <v>1123</v>
      </c>
      <c r="E57" s="8">
        <v>1.0384</v>
      </c>
      <c r="F57" s="4">
        <v>202122</v>
      </c>
      <c r="G57" s="4">
        <v>4</v>
      </c>
      <c r="M57" s="201"/>
    </row>
  </sheetData>
  <sortState xmlns:xlrd2="http://schemas.microsoft.com/office/spreadsheetml/2017/richdata2" ref="A49:O49">
    <sortCondition ref="A49"/>
  </sortState>
  <mergeCells count="3">
    <mergeCell ref="A2:E2"/>
    <mergeCell ref="A42:E42"/>
    <mergeCell ref="A48:E48"/>
  </mergeCells>
  <phoneticPr fontId="8" type="noConversion"/>
  <pageMargins left="0.75" right="0.75" top="1" bottom="1" header="0.5" footer="0.5"/>
  <pageSetup orientation="portrait" r:id="rId1"/>
  <headerFooter alignWithMargins="0">
    <oddFooter>&amp;R&amp;14Exhibit 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F53"/>
  <sheetViews>
    <sheetView workbookViewId="0">
      <pane xSplit="1" ySplit="5" topLeftCell="B21" activePane="bottomRight" state="frozen"/>
      <selection activeCell="G4" sqref="G4"/>
      <selection pane="topRight" activeCell="G4" sqref="G4"/>
      <selection pane="bottomLeft" activeCell="G4" sqref="G4"/>
      <selection pane="bottomRight" activeCell="G4" sqref="G4"/>
    </sheetView>
  </sheetViews>
  <sheetFormatPr defaultColWidth="9.109375" defaultRowHeight="10.199999999999999" x14ac:dyDescent="0.2"/>
  <cols>
    <col min="1" max="1" width="4" style="59" customWidth="1"/>
    <col min="2" max="2" width="21.109375" style="59" bestFit="1" customWidth="1"/>
    <col min="3" max="3" width="12.6640625" style="13" bestFit="1" customWidth="1"/>
    <col min="4" max="4" width="12.88671875" style="9" bestFit="1" customWidth="1"/>
    <col min="5" max="5" width="14.44140625" style="9" customWidth="1"/>
    <col min="6" max="6" width="62.33203125" style="136" bestFit="1" customWidth="1"/>
    <col min="7" max="16384" width="9.109375" style="9"/>
  </cols>
  <sheetData>
    <row r="1" spans="1:6" x14ac:dyDescent="0.2">
      <c r="A1" s="59" t="s">
        <v>249</v>
      </c>
    </row>
    <row r="2" spans="1:6" x14ac:dyDescent="0.2">
      <c r="A2" s="59" t="s">
        <v>966</v>
      </c>
    </row>
    <row r="5" spans="1:6" x14ac:dyDescent="0.2">
      <c r="A5" s="60" t="s">
        <v>244</v>
      </c>
      <c r="B5" s="100" t="s">
        <v>241</v>
      </c>
      <c r="C5" s="61" t="s">
        <v>245</v>
      </c>
      <c r="D5" s="61" t="s">
        <v>206</v>
      </c>
      <c r="E5" s="94" t="s">
        <v>883</v>
      </c>
    </row>
    <row r="6" spans="1:6" x14ac:dyDescent="0.2">
      <c r="A6" s="9">
        <v>1</v>
      </c>
      <c r="B6" s="13" t="s">
        <v>340</v>
      </c>
      <c r="C6" s="13" t="s">
        <v>845</v>
      </c>
      <c r="D6" s="13"/>
    </row>
    <row r="7" spans="1:6" x14ac:dyDescent="0.2">
      <c r="A7" s="9">
        <v>2</v>
      </c>
      <c r="B7" s="13" t="s">
        <v>810</v>
      </c>
      <c r="C7" s="13" t="s">
        <v>845</v>
      </c>
      <c r="D7" s="13"/>
    </row>
    <row r="8" spans="1:6" x14ac:dyDescent="0.2">
      <c r="A8" s="9">
        <v>3</v>
      </c>
      <c r="B8" s="13" t="s">
        <v>286</v>
      </c>
      <c r="C8" s="13" t="s">
        <v>845</v>
      </c>
      <c r="D8" s="13"/>
    </row>
    <row r="9" spans="1:6" x14ac:dyDescent="0.2">
      <c r="A9" s="9">
        <v>4</v>
      </c>
      <c r="B9" s="13" t="s">
        <v>703</v>
      </c>
      <c r="C9" s="13" t="s">
        <v>845</v>
      </c>
      <c r="D9" s="13"/>
    </row>
    <row r="10" spans="1:6" x14ac:dyDescent="0.2">
      <c r="A10" s="9">
        <v>5</v>
      </c>
      <c r="B10" s="13" t="s">
        <v>341</v>
      </c>
      <c r="C10" s="13" t="s">
        <v>845</v>
      </c>
      <c r="D10" s="13"/>
    </row>
    <row r="11" spans="1:6" x14ac:dyDescent="0.2">
      <c r="A11" s="9">
        <v>6</v>
      </c>
      <c r="B11" s="13" t="s">
        <v>0</v>
      </c>
      <c r="C11" s="13" t="s">
        <v>845</v>
      </c>
      <c r="D11" s="13"/>
    </row>
    <row r="12" spans="1:6" x14ac:dyDescent="0.2">
      <c r="A12" s="9">
        <v>7</v>
      </c>
      <c r="B12" s="13" t="s">
        <v>229</v>
      </c>
      <c r="C12" s="13" t="s">
        <v>845</v>
      </c>
      <c r="D12" s="13"/>
    </row>
    <row r="13" spans="1:6" x14ac:dyDescent="0.2">
      <c r="A13" s="9">
        <v>8</v>
      </c>
      <c r="B13" s="13" t="s">
        <v>807</v>
      </c>
      <c r="C13" s="13" t="s">
        <v>845</v>
      </c>
      <c r="D13" s="13"/>
    </row>
    <row r="14" spans="1:6" x14ac:dyDescent="0.2">
      <c r="A14" s="9">
        <v>9</v>
      </c>
      <c r="B14" s="13" t="s">
        <v>808</v>
      </c>
      <c r="C14" s="13" t="s">
        <v>845</v>
      </c>
      <c r="D14" s="13"/>
    </row>
    <row r="15" spans="1:6" x14ac:dyDescent="0.2">
      <c r="A15" s="9">
        <v>10</v>
      </c>
      <c r="B15" s="13" t="s">
        <v>809</v>
      </c>
      <c r="C15" s="13" t="s">
        <v>845</v>
      </c>
      <c r="D15" s="13"/>
      <c r="E15" s="73">
        <f>+Data2!J$212</f>
        <v>1269835437.1399996</v>
      </c>
      <c r="F15" s="136" t="s">
        <v>1081</v>
      </c>
    </row>
    <row r="16" spans="1:6" x14ac:dyDescent="0.2">
      <c r="A16" s="9">
        <v>11</v>
      </c>
      <c r="B16" s="13" t="s">
        <v>969</v>
      </c>
      <c r="C16" s="13" t="s">
        <v>845</v>
      </c>
      <c r="D16" s="13"/>
      <c r="E16" s="73">
        <f>+Data2!K212</f>
        <v>127965.70000000003</v>
      </c>
      <c r="F16" s="136" t="s">
        <v>1081</v>
      </c>
    </row>
    <row r="17" spans="1:6" x14ac:dyDescent="0.2">
      <c r="A17" s="9">
        <v>12</v>
      </c>
      <c r="B17" s="13" t="s">
        <v>927</v>
      </c>
      <c r="C17" s="13" t="s">
        <v>845</v>
      </c>
      <c r="D17" s="13"/>
      <c r="E17" s="73">
        <f>+Data2!L$212</f>
        <v>68737.369999999981</v>
      </c>
    </row>
    <row r="18" spans="1:6" x14ac:dyDescent="0.2">
      <c r="A18" s="9">
        <v>14</v>
      </c>
      <c r="B18" s="13" t="s">
        <v>18</v>
      </c>
      <c r="C18" s="13" t="s">
        <v>845</v>
      </c>
      <c r="D18" s="13"/>
      <c r="E18" s="73">
        <f>+Data2!M212</f>
        <v>12</v>
      </c>
    </row>
    <row r="19" spans="1:6" x14ac:dyDescent="0.2">
      <c r="A19" s="9">
        <v>15</v>
      </c>
      <c r="B19" s="13" t="s">
        <v>2</v>
      </c>
      <c r="C19" s="13" t="s">
        <v>1021</v>
      </c>
      <c r="D19" s="13"/>
      <c r="E19" s="73">
        <f>+Data2!N212</f>
        <v>6490437655</v>
      </c>
    </row>
    <row r="20" spans="1:6" x14ac:dyDescent="0.2">
      <c r="A20" s="9">
        <v>16</v>
      </c>
      <c r="B20" s="13" t="s">
        <v>16</v>
      </c>
      <c r="C20" s="13" t="s">
        <v>246</v>
      </c>
      <c r="D20" s="13"/>
      <c r="E20" s="73">
        <f>+Data2!Q212</f>
        <v>0</v>
      </c>
      <c r="F20" s="136" t="s">
        <v>1076</v>
      </c>
    </row>
    <row r="21" spans="1:6" x14ac:dyDescent="0.2">
      <c r="A21" s="9">
        <v>17</v>
      </c>
      <c r="B21" s="13" t="s">
        <v>17</v>
      </c>
      <c r="C21" s="13" t="s">
        <v>246</v>
      </c>
      <c r="D21" s="13"/>
      <c r="E21" s="73">
        <f>+Data2!R212</f>
        <v>0</v>
      </c>
      <c r="F21" s="136" t="s">
        <v>1076</v>
      </c>
    </row>
    <row r="22" spans="1:6" x14ac:dyDescent="0.2">
      <c r="A22" s="9">
        <v>18</v>
      </c>
      <c r="B22" s="13" t="s">
        <v>3</v>
      </c>
      <c r="C22" s="13" t="s">
        <v>246</v>
      </c>
      <c r="D22" s="13"/>
      <c r="E22" s="73">
        <f>+Data2!S212</f>
        <v>6092204.1000000006</v>
      </c>
      <c r="F22" s="136" t="s">
        <v>1076</v>
      </c>
    </row>
    <row r="23" spans="1:6" x14ac:dyDescent="0.2">
      <c r="A23" s="9">
        <v>19</v>
      </c>
      <c r="B23" s="13" t="s">
        <v>4</v>
      </c>
      <c r="C23" s="13" t="s">
        <v>1020</v>
      </c>
      <c r="D23" s="13"/>
      <c r="E23" s="73">
        <f>+Data2!T$212</f>
        <v>36638216.700000003</v>
      </c>
      <c r="F23" s="136" t="s">
        <v>1076</v>
      </c>
    </row>
    <row r="24" spans="1:6" x14ac:dyDescent="0.2">
      <c r="A24" s="9">
        <v>20</v>
      </c>
      <c r="B24" s="13" t="s">
        <v>830</v>
      </c>
      <c r="C24" s="13" t="s">
        <v>1019</v>
      </c>
      <c r="D24" s="13"/>
      <c r="E24" s="73">
        <f>+Data2!U$212</f>
        <v>36505788.330000013</v>
      </c>
      <c r="F24" s="136" t="s">
        <v>1076</v>
      </c>
    </row>
    <row r="25" spans="1:6" x14ac:dyDescent="0.2">
      <c r="A25" s="9">
        <v>21</v>
      </c>
      <c r="B25" s="13" t="s">
        <v>831</v>
      </c>
      <c r="C25" s="13" t="s">
        <v>1019</v>
      </c>
      <c r="D25" s="13"/>
      <c r="E25" s="73">
        <f>+Data2!V$212</f>
        <v>15847146.570000004</v>
      </c>
      <c r="F25" s="136" t="s">
        <v>1076</v>
      </c>
    </row>
    <row r="26" spans="1:6" x14ac:dyDescent="0.2">
      <c r="A26" s="9">
        <v>22</v>
      </c>
      <c r="B26" s="13" t="s">
        <v>1018</v>
      </c>
      <c r="C26" s="13" t="s">
        <v>1019</v>
      </c>
      <c r="D26" s="13"/>
      <c r="E26" s="73">
        <f>+Data2!W$212</f>
        <v>3158659.0800000005</v>
      </c>
      <c r="F26" s="136" t="s">
        <v>1076</v>
      </c>
    </row>
    <row r="27" spans="1:6" x14ac:dyDescent="0.2">
      <c r="A27" s="9">
        <v>23</v>
      </c>
      <c r="B27" s="13" t="s">
        <v>834</v>
      </c>
      <c r="C27" s="13" t="s">
        <v>1019</v>
      </c>
      <c r="D27" s="13"/>
      <c r="E27" s="73">
        <f>+Data2!X$212</f>
        <v>4870387.0670000017</v>
      </c>
      <c r="F27" s="136" t="s">
        <v>1076</v>
      </c>
    </row>
    <row r="28" spans="1:6" x14ac:dyDescent="0.2">
      <c r="A28" s="9">
        <v>24</v>
      </c>
      <c r="B28" s="13" t="s">
        <v>5</v>
      </c>
      <c r="C28" s="13" t="s">
        <v>247</v>
      </c>
      <c r="D28" s="13"/>
      <c r="E28" s="73">
        <f>+Data2!Y212</f>
        <v>1288.3399999999997</v>
      </c>
      <c r="F28" s="136" t="s">
        <v>1077</v>
      </c>
    </row>
    <row r="29" spans="1:6" x14ac:dyDescent="0.2">
      <c r="A29" s="9">
        <v>25</v>
      </c>
      <c r="B29" s="13" t="s">
        <v>6</v>
      </c>
      <c r="C29" s="13" t="s">
        <v>247</v>
      </c>
      <c r="D29" s="13"/>
      <c r="E29" s="73">
        <f>+Data2!Z212</f>
        <v>8409.7799999999988</v>
      </c>
      <c r="F29" s="136" t="s">
        <v>1077</v>
      </c>
    </row>
    <row r="30" spans="1:6" x14ac:dyDescent="0.2">
      <c r="A30" s="9">
        <v>26</v>
      </c>
      <c r="B30" s="13" t="s">
        <v>7</v>
      </c>
      <c r="C30" s="13" t="s">
        <v>247</v>
      </c>
      <c r="D30" s="13"/>
      <c r="E30" s="73">
        <f>+Data2!AA212</f>
        <v>55199.689999999995</v>
      </c>
      <c r="F30" s="136" t="s">
        <v>1077</v>
      </c>
    </row>
    <row r="31" spans="1:6" x14ac:dyDescent="0.2">
      <c r="A31" s="9">
        <v>27</v>
      </c>
      <c r="B31" s="13" t="s">
        <v>8</v>
      </c>
      <c r="C31" s="13" t="s">
        <v>247</v>
      </c>
      <c r="D31" s="13"/>
      <c r="E31" s="73">
        <f>+Data2!AB212</f>
        <v>18467.939999999999</v>
      </c>
      <c r="F31" s="136" t="s">
        <v>1077</v>
      </c>
    </row>
    <row r="32" spans="1:6" x14ac:dyDescent="0.2">
      <c r="A32" s="9">
        <v>28</v>
      </c>
      <c r="B32" s="13" t="s">
        <v>9</v>
      </c>
      <c r="C32" s="13" t="s">
        <v>247</v>
      </c>
      <c r="D32" s="13"/>
      <c r="E32" s="73">
        <f>+Data2!AC212</f>
        <v>33810.360000000008</v>
      </c>
      <c r="F32" s="136" t="s">
        <v>1077</v>
      </c>
    </row>
    <row r="33" spans="1:6" x14ac:dyDescent="0.2">
      <c r="A33" s="9">
        <v>29</v>
      </c>
      <c r="B33" s="13" t="s">
        <v>10</v>
      </c>
      <c r="C33" s="13" t="s">
        <v>247</v>
      </c>
      <c r="D33" s="13"/>
      <c r="E33" s="73">
        <f>+Data2!AD212</f>
        <v>968.92000000000019</v>
      </c>
      <c r="F33" s="136" t="s">
        <v>1077</v>
      </c>
    </row>
    <row r="34" spans="1:6" x14ac:dyDescent="0.2">
      <c r="A34" s="9">
        <v>30</v>
      </c>
      <c r="B34" s="13" t="s">
        <v>835</v>
      </c>
      <c r="C34" s="13" t="s">
        <v>247</v>
      </c>
      <c r="D34" s="13"/>
      <c r="E34" s="73">
        <f>+Data2!AE212</f>
        <v>807.70999999999992</v>
      </c>
      <c r="F34" s="136" t="s">
        <v>1080</v>
      </c>
    </row>
    <row r="35" spans="1:6" x14ac:dyDescent="0.2">
      <c r="A35" s="9">
        <v>31</v>
      </c>
      <c r="B35" s="13" t="s">
        <v>836</v>
      </c>
      <c r="C35" s="13" t="s">
        <v>247</v>
      </c>
      <c r="D35" s="13"/>
      <c r="E35" s="73">
        <f>+Data2!AF212</f>
        <v>990.91999999999985</v>
      </c>
      <c r="F35" s="136" t="s">
        <v>1080</v>
      </c>
    </row>
    <row r="36" spans="1:6" x14ac:dyDescent="0.2">
      <c r="A36" s="9">
        <v>32</v>
      </c>
      <c r="B36" s="13" t="s">
        <v>837</v>
      </c>
      <c r="C36" s="13" t="s">
        <v>247</v>
      </c>
      <c r="D36" s="13"/>
      <c r="E36" s="73">
        <f>+Data2!AG212</f>
        <v>1700.9700000000003</v>
      </c>
      <c r="F36" s="136" t="s">
        <v>1080</v>
      </c>
    </row>
    <row r="37" spans="1:6" x14ac:dyDescent="0.2">
      <c r="A37" s="9">
        <v>33</v>
      </c>
      <c r="B37" s="13" t="s">
        <v>869</v>
      </c>
      <c r="C37" s="13" t="s">
        <v>845</v>
      </c>
      <c r="D37" s="13"/>
      <c r="E37" s="161">
        <f>+Data2!AH212</f>
        <v>60.750000000000007</v>
      </c>
    </row>
    <row r="38" spans="1:6" x14ac:dyDescent="0.2">
      <c r="A38" s="9">
        <v>34</v>
      </c>
      <c r="B38" s="13" t="s">
        <v>12</v>
      </c>
      <c r="C38" s="13" t="s">
        <v>247</v>
      </c>
      <c r="D38" s="13"/>
      <c r="E38" s="73">
        <f>+Data2!AI212</f>
        <v>50.929999999999993</v>
      </c>
      <c r="F38" s="136" t="s">
        <v>1077</v>
      </c>
    </row>
    <row r="39" spans="1:6" x14ac:dyDescent="0.2">
      <c r="A39" s="9">
        <v>36</v>
      </c>
      <c r="B39" s="13" t="s">
        <v>970</v>
      </c>
      <c r="C39" s="13" t="s">
        <v>247</v>
      </c>
      <c r="D39" s="13"/>
      <c r="E39" s="73">
        <f>+Data2!AJ212</f>
        <v>9.26</v>
      </c>
    </row>
    <row r="40" spans="1:6" x14ac:dyDescent="0.2">
      <c r="A40" s="9">
        <v>37</v>
      </c>
      <c r="B40" s="13" t="s">
        <v>11</v>
      </c>
      <c r="C40" s="13" t="s">
        <v>247</v>
      </c>
      <c r="D40" s="13"/>
      <c r="E40" s="73">
        <f>+Data2!AQ212</f>
        <v>2610.3700000000022</v>
      </c>
      <c r="F40" s="136" t="s">
        <v>1077</v>
      </c>
    </row>
    <row r="41" spans="1:6" x14ac:dyDescent="0.2">
      <c r="A41" s="9">
        <v>39</v>
      </c>
      <c r="B41" s="13" t="s">
        <v>14</v>
      </c>
      <c r="C41" s="13" t="s">
        <v>247</v>
      </c>
      <c r="D41" s="13"/>
      <c r="E41" s="73">
        <f>+Data2!AR212</f>
        <v>57.300000000000026</v>
      </c>
      <c r="F41" s="136" t="s">
        <v>1077</v>
      </c>
    </row>
    <row r="42" spans="1:6" x14ac:dyDescent="0.2">
      <c r="A42" s="9">
        <v>40</v>
      </c>
      <c r="B42" s="13" t="s">
        <v>232</v>
      </c>
      <c r="C42" s="13" t="s">
        <v>247</v>
      </c>
      <c r="D42" s="13"/>
      <c r="E42" s="73">
        <f>+Data2!AS212</f>
        <v>618514.69999999995</v>
      </c>
      <c r="F42" s="136" t="s">
        <v>1078</v>
      </c>
    </row>
    <row r="43" spans="1:6" x14ac:dyDescent="0.2">
      <c r="A43" s="9">
        <v>41</v>
      </c>
      <c r="B43" s="13" t="s">
        <v>233</v>
      </c>
      <c r="C43" s="13" t="s">
        <v>247</v>
      </c>
      <c r="D43" s="13"/>
      <c r="E43" s="73">
        <f>+Data2!AT212</f>
        <v>19600176.099999998</v>
      </c>
      <c r="F43" s="136" t="s">
        <v>1078</v>
      </c>
    </row>
    <row r="44" spans="1:6" x14ac:dyDescent="0.2">
      <c r="A44" s="9">
        <v>42</v>
      </c>
      <c r="B44" s="13" t="s">
        <v>234</v>
      </c>
      <c r="C44" s="13" t="s">
        <v>247</v>
      </c>
      <c r="D44" s="13"/>
      <c r="E44" s="73">
        <f>+Data2!AU212</f>
        <v>28813</v>
      </c>
      <c r="F44" s="136" t="s">
        <v>1078</v>
      </c>
    </row>
    <row r="45" spans="1:6" x14ac:dyDescent="0.2">
      <c r="A45" s="9">
        <v>43</v>
      </c>
      <c r="B45" s="13" t="s">
        <v>239</v>
      </c>
      <c r="C45" s="13" t="s">
        <v>247</v>
      </c>
      <c r="D45" s="13"/>
      <c r="E45" s="73">
        <f>+Data2!AV212</f>
        <v>536190</v>
      </c>
      <c r="F45" s="136" t="s">
        <v>1078</v>
      </c>
    </row>
    <row r="46" spans="1:6" x14ac:dyDescent="0.2">
      <c r="A46" s="9">
        <v>44</v>
      </c>
      <c r="B46" s="13" t="s">
        <v>238</v>
      </c>
      <c r="C46" s="13" t="s">
        <v>247</v>
      </c>
      <c r="E46" s="73">
        <f>+Data2!AW212</f>
        <v>68737.369999999981</v>
      </c>
      <c r="F46" s="136" t="s">
        <v>1078</v>
      </c>
    </row>
    <row r="47" spans="1:6" x14ac:dyDescent="0.2">
      <c r="A47" s="9">
        <v>45</v>
      </c>
      <c r="B47" s="13" t="s">
        <v>235</v>
      </c>
      <c r="C47" s="13" t="s">
        <v>247</v>
      </c>
      <c r="E47" s="73">
        <f>+Data2!AX212</f>
        <v>372</v>
      </c>
      <c r="F47" s="136" t="s">
        <v>1078</v>
      </c>
    </row>
    <row r="48" spans="1:6" x14ac:dyDescent="0.2">
      <c r="A48" s="9">
        <v>46</v>
      </c>
      <c r="B48" s="13" t="s">
        <v>237</v>
      </c>
      <c r="C48" s="13" t="s">
        <v>247</v>
      </c>
      <c r="E48" s="73">
        <f>+Data2!AY212</f>
        <v>346167.48</v>
      </c>
      <c r="F48" s="136" t="s">
        <v>1078</v>
      </c>
    </row>
    <row r="49" spans="1:6" x14ac:dyDescent="0.2">
      <c r="A49" s="9">
        <v>47</v>
      </c>
      <c r="B49" s="13" t="s">
        <v>236</v>
      </c>
      <c r="C49" s="13" t="s">
        <v>247</v>
      </c>
      <c r="E49" s="73">
        <f>+Data2!AZ212</f>
        <v>87130</v>
      </c>
      <c r="F49" s="136" t="s">
        <v>1078</v>
      </c>
    </row>
    <row r="50" spans="1:6" x14ac:dyDescent="0.2">
      <c r="A50" s="9">
        <v>48</v>
      </c>
      <c r="B50" s="13" t="s">
        <v>240</v>
      </c>
      <c r="C50" s="13" t="s">
        <v>246</v>
      </c>
      <c r="E50" s="73">
        <f>+Data2!BA212</f>
        <v>81007875.009999976</v>
      </c>
      <c r="F50" s="136" t="s">
        <v>1079</v>
      </c>
    </row>
    <row r="51" spans="1:6" x14ac:dyDescent="0.2">
      <c r="A51" s="9">
        <v>49</v>
      </c>
      <c r="B51" s="13" t="s">
        <v>1010</v>
      </c>
      <c r="C51" s="13" t="s">
        <v>845</v>
      </c>
      <c r="E51" s="73">
        <f>+Data2!BB212</f>
        <v>373647111.74000001</v>
      </c>
    </row>
    <row r="52" spans="1:6" x14ac:dyDescent="0.2">
      <c r="A52" s="9"/>
      <c r="B52" s="9"/>
      <c r="E52" s="73"/>
    </row>
    <row r="53" spans="1:6" x14ac:dyDescent="0.2">
      <c r="A53" s="9"/>
      <c r="B53" s="9"/>
      <c r="C53" s="9"/>
    </row>
  </sheetData>
  <phoneticPr fontId="8" type="noConversion"/>
  <hyperlinks>
    <hyperlink ref="F20" r:id="rId1" xr:uid="{00000000-0004-0000-0300-000000000000}"/>
    <hyperlink ref="F28" r:id="rId2" xr:uid="{00000000-0004-0000-0300-000001000000}"/>
    <hyperlink ref="F42" r:id="rId3" xr:uid="{00000000-0004-0000-0300-000002000000}"/>
    <hyperlink ref="F50" r:id="rId4" xr:uid="{00000000-0004-0000-0300-000003000000}"/>
    <hyperlink ref="F34" r:id="rId5" xr:uid="{00000000-0004-0000-0300-000004000000}"/>
    <hyperlink ref="F15" r:id="rId6" xr:uid="{00000000-0004-0000-0300-000005000000}"/>
    <hyperlink ref="F21:F27" r:id="rId7" display="..\ExtractFiles\FinanceData2016.xls" xr:uid="{00000000-0004-0000-0300-000006000000}"/>
    <hyperlink ref="F29:F33" r:id="rId8" display="..\ExtractFiles\FndAidADM2016.xls" xr:uid="{00000000-0004-0000-0300-000007000000}"/>
    <hyperlink ref="F40:F41" r:id="rId9" display="..\ExtractFiles\FndAidADM2016.xls" xr:uid="{00000000-0004-0000-0300-000008000000}"/>
    <hyperlink ref="F38" r:id="rId10" xr:uid="{00000000-0004-0000-0300-000009000000}"/>
    <hyperlink ref="F16" r:id="rId11" xr:uid="{00000000-0004-0000-0300-00000A000000}"/>
  </hyperlinks>
  <printOptions gridLines="1"/>
  <pageMargins left="0.75" right="0.75" top="1" bottom="1" header="0.5" footer="0.5"/>
  <pageSetup orientation="portrait" r:id="rId12"/>
  <headerFooter alignWithMargins="0">
    <oddFooter>&amp;R&amp;14Exhibit D</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Q676"/>
  <sheetViews>
    <sheetView zoomScaleNormal="100" workbookViewId="0">
      <pane xSplit="5" ySplit="4" topLeftCell="F136" activePane="bottomRight" state="frozen"/>
      <selection activeCell="G4" sqref="G4"/>
      <selection pane="topRight" activeCell="G4" sqref="G4"/>
      <selection pane="bottomLeft" activeCell="G4" sqref="G4"/>
      <selection pane="bottomRight" activeCell="O152" sqref="O152"/>
    </sheetView>
  </sheetViews>
  <sheetFormatPr defaultColWidth="9.109375" defaultRowHeight="13.2" x14ac:dyDescent="0.25"/>
  <cols>
    <col min="1" max="1" width="7.33203125" style="9" bestFit="1" customWidth="1"/>
    <col min="2" max="2" width="6.5546875" style="101" customWidth="1"/>
    <col min="3" max="3" width="10.6640625" style="13" customWidth="1"/>
    <col min="4" max="4" width="6.109375" style="9" customWidth="1"/>
    <col min="5" max="5" width="28.88671875" style="9" bestFit="1" customWidth="1"/>
    <col min="6" max="6" width="8.44140625" style="9" customWidth="1"/>
    <col min="7" max="7" width="9.5546875" style="9" bestFit="1" customWidth="1"/>
    <col min="8" max="8" width="6.33203125" style="9" customWidth="1"/>
    <col min="9" max="9" width="9.6640625" style="9" customWidth="1"/>
    <col min="10" max="10" width="14.6640625" style="13" customWidth="1"/>
    <col min="11" max="11" width="11.5546875" style="13" customWidth="1"/>
    <col min="12" max="13" width="9" style="13" bestFit="1" customWidth="1"/>
    <col min="14" max="16" width="15" style="13" customWidth="1"/>
    <col min="17" max="17" width="13" style="13" bestFit="1" customWidth="1"/>
    <col min="18" max="18" width="14.44140625" style="13" customWidth="1"/>
    <col min="19" max="19" width="12.109375" style="13" customWidth="1"/>
    <col min="20" max="20" width="12.44140625" style="13" customWidth="1"/>
    <col min="21" max="21" width="12.109375" style="13" customWidth="1"/>
    <col min="22" max="22" width="12.88671875" style="13" bestFit="1" customWidth="1"/>
    <col min="23" max="23" width="12.6640625" style="13" customWidth="1"/>
    <col min="24" max="24" width="11" style="13" customWidth="1"/>
    <col min="25" max="25" width="9.5546875" style="13" customWidth="1"/>
    <col min="26" max="26" width="11.33203125" style="13" customWidth="1"/>
    <col min="27" max="28" width="9.109375" style="13" bestFit="1" customWidth="1"/>
    <col min="29" max="29" width="9.5546875" style="13" bestFit="1" customWidth="1"/>
    <col min="30" max="30" width="9.88671875" style="13" customWidth="1"/>
    <col min="31" max="32" width="8.109375" style="13" customWidth="1"/>
    <col min="33" max="33" width="9.109375" style="13" customWidth="1"/>
    <col min="34" max="34" width="8.109375" style="133" customWidth="1"/>
    <col min="35" max="35" width="10.33203125" style="13" bestFit="1" customWidth="1"/>
    <col min="36" max="36" width="12.88671875" style="13" bestFit="1" customWidth="1"/>
    <col min="37" max="40" width="12.88671875" style="13" customWidth="1"/>
    <col min="41" max="42" width="9.88671875" style="13" customWidth="1"/>
    <col min="43" max="43" width="13.6640625" style="13" customWidth="1"/>
    <col min="44" max="44" width="8.88671875" style="13" customWidth="1"/>
    <col min="45" max="45" width="13.109375" style="13" customWidth="1"/>
    <col min="46" max="46" width="12.44140625" style="13" customWidth="1"/>
    <col min="47" max="47" width="12.109375" style="106" customWidth="1"/>
    <col min="48" max="48" width="13.33203125" style="13" customWidth="1"/>
    <col min="49" max="49" width="12.5546875" style="13" customWidth="1"/>
    <col min="50" max="50" width="11.33203125" style="106" customWidth="1"/>
    <col min="51" max="51" width="14.5546875" style="13" customWidth="1"/>
    <col min="52" max="52" width="12.109375" style="13" customWidth="1"/>
    <col min="53" max="53" width="12.44140625" style="13" customWidth="1"/>
    <col min="54" max="54" width="14.88671875" style="13" bestFit="1" customWidth="1"/>
    <col min="55" max="56" width="13.6640625" style="101" customWidth="1"/>
    <col min="57" max="57" width="9.33203125" customWidth="1"/>
    <col min="58" max="58" width="9.5546875" customWidth="1"/>
    <col min="59" max="59" width="10.6640625" style="9" bestFit="1" customWidth="1"/>
    <col min="60" max="60" width="12.88671875" style="117" bestFit="1" customWidth="1"/>
    <col min="61" max="61" width="12" style="117" bestFit="1" customWidth="1"/>
    <col min="62" max="62" width="11.109375" style="117" customWidth="1"/>
    <col min="63" max="63" width="9.33203125" style="9" bestFit="1" customWidth="1"/>
    <col min="64" max="64" width="10" style="9" bestFit="1" customWidth="1"/>
    <col min="65" max="67" width="9.33203125" style="9" bestFit="1" customWidth="1"/>
    <col min="68" max="68" width="7.44140625" style="9" customWidth="1"/>
    <col min="69" max="69" width="12.5546875" style="9" bestFit="1" customWidth="1"/>
    <col min="70" max="72" width="9.33203125" style="9" bestFit="1" customWidth="1"/>
    <col min="73" max="74" width="9.33203125" style="9" customWidth="1"/>
    <col min="75" max="75" width="10.33203125" style="9" customWidth="1"/>
    <col min="76" max="80" width="9.33203125" style="9" bestFit="1" customWidth="1"/>
    <col min="81" max="81" width="9.33203125" style="9" customWidth="1"/>
    <col min="82" max="85" width="9.33203125" style="9" bestFit="1" customWidth="1"/>
    <col min="86" max="86" width="10" style="9" bestFit="1" customWidth="1"/>
    <col min="87" max="88" width="10" style="9" customWidth="1"/>
    <col min="89" max="89" width="9.33203125" style="9" bestFit="1" customWidth="1"/>
    <col min="90" max="90" width="10" style="9" bestFit="1" customWidth="1"/>
    <col min="91" max="91" width="10" style="9" customWidth="1"/>
    <col min="92" max="92" width="14.33203125" style="9" bestFit="1" customWidth="1"/>
    <col min="93" max="93" width="13.6640625" style="9" customWidth="1"/>
    <col min="94" max="94" width="14.33203125" style="9" bestFit="1" customWidth="1"/>
    <col min="95" max="95" width="13.33203125" style="9" customWidth="1"/>
    <col min="96" max="96" width="12.88671875" style="9" customWidth="1"/>
    <col min="97" max="97" width="14" style="9" customWidth="1"/>
    <col min="98" max="98" width="12.109375" style="9" bestFit="1" customWidth="1"/>
    <col min="99" max="99" width="16" style="120" bestFit="1" customWidth="1"/>
    <col min="100" max="100" width="14.6640625" style="120" customWidth="1"/>
    <col min="101" max="101" width="18.88671875" style="120" bestFit="1" customWidth="1"/>
    <col min="102" max="102" width="15.5546875" style="120" bestFit="1" customWidth="1"/>
    <col min="103" max="103" width="10.6640625" style="120" customWidth="1"/>
    <col min="104" max="104" width="9.109375" style="9"/>
    <col min="105" max="106" width="11.88671875" style="9" bestFit="1" customWidth="1"/>
    <col min="107" max="111" width="10.5546875" style="9" bestFit="1" customWidth="1"/>
    <col min="112" max="112" width="9.109375" style="9"/>
    <col min="113" max="113" width="14.109375" style="9" customWidth="1"/>
    <col min="114" max="114" width="12.109375" style="9" bestFit="1" customWidth="1"/>
    <col min="115" max="115" width="10" style="9" bestFit="1" customWidth="1"/>
    <col min="116" max="116" width="11.33203125" style="9" bestFit="1" customWidth="1"/>
    <col min="117" max="117" width="10" style="9" bestFit="1" customWidth="1"/>
    <col min="118" max="118" width="9" style="9" bestFit="1" customWidth="1"/>
    <col min="119" max="119" width="10.44140625" style="9" bestFit="1" customWidth="1"/>
    <col min="120" max="120" width="9.109375" style="9"/>
    <col min="121" max="121" width="13.109375" style="9" customWidth="1"/>
    <col min="122" max="16384" width="9.109375" style="9"/>
  </cols>
  <sheetData>
    <row r="1" spans="1:121" ht="10.199999999999999" x14ac:dyDescent="0.2">
      <c r="A1" s="9">
        <f>CoDist</f>
        <v>0</v>
      </c>
      <c r="B1" s="105" t="e">
        <f t="shared" ref="B1:AF1" si="0">VLOOKUP(CoDist,Data2,B2,FALSE)</f>
        <v>#N/A</v>
      </c>
      <c r="C1" s="105" t="e">
        <f t="shared" si="0"/>
        <v>#N/A</v>
      </c>
      <c r="D1" s="105">
        <v>2027</v>
      </c>
      <c r="E1" s="105" t="e">
        <f t="shared" si="0"/>
        <v>#N/A</v>
      </c>
      <c r="F1" s="105" t="e">
        <f t="shared" si="0"/>
        <v>#N/A</v>
      </c>
      <c r="G1" s="105" t="e">
        <f t="shared" si="0"/>
        <v>#N/A</v>
      </c>
      <c r="H1" s="105" t="e">
        <f t="shared" si="0"/>
        <v>#N/A</v>
      </c>
      <c r="I1" s="105" t="e">
        <f t="shared" si="0"/>
        <v>#N/A</v>
      </c>
      <c r="J1" s="105" t="e">
        <f t="shared" si="0"/>
        <v>#N/A</v>
      </c>
      <c r="K1" s="105" t="e">
        <f>VLOOKUP(CoDist,Data2,K2,FALSE)</f>
        <v>#N/A</v>
      </c>
      <c r="L1" s="105" t="e">
        <f>VLOOKUP(CoDist,Data2,L2,FALSE)</f>
        <v>#N/A</v>
      </c>
      <c r="M1" s="105" t="e">
        <f>VLOOKUP(CoDist,Data2,M2,FALSE)</f>
        <v>#N/A</v>
      </c>
      <c r="N1" s="105" t="e">
        <f t="shared" si="0"/>
        <v>#N/A</v>
      </c>
      <c r="O1" s="105" t="e">
        <f t="shared" si="0"/>
        <v>#N/A</v>
      </c>
      <c r="P1" s="105" t="e">
        <f t="shared" si="0"/>
        <v>#N/A</v>
      </c>
      <c r="Q1" s="105" t="e">
        <f t="shared" si="0"/>
        <v>#N/A</v>
      </c>
      <c r="R1" s="105" t="e">
        <f t="shared" si="0"/>
        <v>#N/A</v>
      </c>
      <c r="S1" s="105" t="e">
        <f t="shared" si="0"/>
        <v>#N/A</v>
      </c>
      <c r="T1" s="105" t="e">
        <f t="shared" si="0"/>
        <v>#N/A</v>
      </c>
      <c r="U1" s="105" t="e">
        <f t="shared" si="0"/>
        <v>#N/A</v>
      </c>
      <c r="V1" s="105" t="e">
        <f t="shared" si="0"/>
        <v>#N/A</v>
      </c>
      <c r="W1" s="105" t="e">
        <f t="shared" si="0"/>
        <v>#N/A</v>
      </c>
      <c r="X1" s="105" t="e">
        <f t="shared" si="0"/>
        <v>#N/A</v>
      </c>
      <c r="Y1" s="105" t="e">
        <f t="shared" si="0"/>
        <v>#N/A</v>
      </c>
      <c r="Z1" s="105" t="e">
        <f t="shared" si="0"/>
        <v>#N/A</v>
      </c>
      <c r="AA1" s="105" t="e">
        <f t="shared" si="0"/>
        <v>#N/A</v>
      </c>
      <c r="AB1" s="105" t="e">
        <f t="shared" si="0"/>
        <v>#N/A</v>
      </c>
      <c r="AC1" s="105" t="e">
        <f t="shared" si="0"/>
        <v>#N/A</v>
      </c>
      <c r="AD1" s="105" t="e">
        <f t="shared" si="0"/>
        <v>#N/A</v>
      </c>
      <c r="AE1" s="105" t="e">
        <f t="shared" si="0"/>
        <v>#N/A</v>
      </c>
      <c r="AF1" s="105" t="e">
        <f t="shared" si="0"/>
        <v>#N/A</v>
      </c>
      <c r="AG1" s="105" t="e">
        <f t="shared" ref="AG1:CN1" si="1">VLOOKUP(CoDist,Data2,AG2,FALSE)</f>
        <v>#N/A</v>
      </c>
      <c r="AH1" s="229" t="e">
        <f t="shared" si="1"/>
        <v>#N/A</v>
      </c>
      <c r="AI1" s="105" t="e">
        <f t="shared" si="1"/>
        <v>#N/A</v>
      </c>
      <c r="AJ1" s="105" t="e">
        <f t="shared" ref="AJ1:AQ1" si="2">VLOOKUP(CoDist,Data2,AJ2,FALSE)</f>
        <v>#N/A</v>
      </c>
      <c r="AK1" s="105" t="e">
        <f t="shared" si="2"/>
        <v>#N/A</v>
      </c>
      <c r="AL1" s="105" t="e">
        <f t="shared" si="2"/>
        <v>#N/A</v>
      </c>
      <c r="AM1" s="105" t="e">
        <f t="shared" si="2"/>
        <v>#N/A</v>
      </c>
      <c r="AN1" s="105" t="e">
        <f t="shared" si="2"/>
        <v>#N/A</v>
      </c>
      <c r="AO1" s="105" t="e">
        <f t="shared" si="2"/>
        <v>#N/A</v>
      </c>
      <c r="AP1" s="105" t="e">
        <f t="shared" si="2"/>
        <v>#N/A</v>
      </c>
      <c r="AQ1" s="105" t="e">
        <f t="shared" si="2"/>
        <v>#N/A</v>
      </c>
      <c r="AR1" s="105" t="e">
        <f t="shared" si="1"/>
        <v>#N/A</v>
      </c>
      <c r="AS1" s="105" t="e">
        <f t="shared" si="1"/>
        <v>#N/A</v>
      </c>
      <c r="AT1" s="105" t="e">
        <f t="shared" si="1"/>
        <v>#N/A</v>
      </c>
      <c r="AU1" s="105" t="e">
        <f t="shared" si="1"/>
        <v>#N/A</v>
      </c>
      <c r="AV1" s="105" t="e">
        <f t="shared" si="1"/>
        <v>#N/A</v>
      </c>
      <c r="AW1" s="105" t="e">
        <f t="shared" si="1"/>
        <v>#N/A</v>
      </c>
      <c r="AX1" s="105" t="e">
        <f t="shared" si="1"/>
        <v>#N/A</v>
      </c>
      <c r="AY1" s="105" t="e">
        <f t="shared" si="1"/>
        <v>#N/A</v>
      </c>
      <c r="AZ1" s="105" t="e">
        <f t="shared" si="1"/>
        <v>#N/A</v>
      </c>
      <c r="BA1" s="105" t="e">
        <f t="shared" si="1"/>
        <v>#N/A</v>
      </c>
      <c r="BB1" s="105" t="e">
        <f t="shared" si="1"/>
        <v>#N/A</v>
      </c>
      <c r="BC1" s="105" t="e">
        <f t="shared" si="1"/>
        <v>#N/A</v>
      </c>
      <c r="BD1" s="105" t="e">
        <f t="shared" si="1"/>
        <v>#N/A</v>
      </c>
      <c r="BE1" s="105" t="e">
        <f t="shared" si="1"/>
        <v>#N/A</v>
      </c>
      <c r="BF1" s="105" t="e">
        <f t="shared" si="1"/>
        <v>#N/A</v>
      </c>
      <c r="BG1" s="105" t="e">
        <f t="shared" si="1"/>
        <v>#N/A</v>
      </c>
      <c r="BH1" s="105" t="e">
        <f t="shared" si="1"/>
        <v>#N/A</v>
      </c>
      <c r="BI1" s="105" t="e">
        <f t="shared" si="1"/>
        <v>#N/A</v>
      </c>
      <c r="BJ1" s="105" t="e">
        <f t="shared" si="1"/>
        <v>#N/A</v>
      </c>
      <c r="BK1" s="105" t="e">
        <f t="shared" si="1"/>
        <v>#N/A</v>
      </c>
      <c r="BL1" s="105" t="e">
        <f t="shared" si="1"/>
        <v>#N/A</v>
      </c>
      <c r="BM1" s="105" t="e">
        <f t="shared" si="1"/>
        <v>#N/A</v>
      </c>
      <c r="BN1" s="105" t="e">
        <f t="shared" si="1"/>
        <v>#N/A</v>
      </c>
      <c r="BO1" s="105" t="e">
        <f t="shared" si="1"/>
        <v>#N/A</v>
      </c>
      <c r="BP1" s="105" t="e">
        <f t="shared" si="1"/>
        <v>#N/A</v>
      </c>
      <c r="BQ1" s="105" t="e">
        <f t="shared" si="1"/>
        <v>#N/A</v>
      </c>
      <c r="BR1" s="105" t="e">
        <f t="shared" si="1"/>
        <v>#N/A</v>
      </c>
      <c r="BS1" s="105" t="e">
        <f t="shared" si="1"/>
        <v>#N/A</v>
      </c>
      <c r="BT1" s="105" t="e">
        <f t="shared" si="1"/>
        <v>#N/A</v>
      </c>
      <c r="BU1" s="105" t="e">
        <f t="shared" si="1"/>
        <v>#N/A</v>
      </c>
      <c r="BV1" s="105" t="e">
        <f t="shared" si="1"/>
        <v>#N/A</v>
      </c>
      <c r="BW1" s="105" t="e">
        <f t="shared" si="1"/>
        <v>#N/A</v>
      </c>
      <c r="BX1" s="105" t="e">
        <f t="shared" si="1"/>
        <v>#N/A</v>
      </c>
      <c r="BY1" s="105" t="e">
        <f t="shared" si="1"/>
        <v>#N/A</v>
      </c>
      <c r="BZ1" s="105" t="e">
        <f t="shared" si="1"/>
        <v>#N/A</v>
      </c>
      <c r="CA1" s="105" t="e">
        <f t="shared" si="1"/>
        <v>#N/A</v>
      </c>
      <c r="CB1" s="105" t="e">
        <f t="shared" si="1"/>
        <v>#N/A</v>
      </c>
      <c r="CC1" s="105" t="e">
        <f t="shared" si="1"/>
        <v>#N/A</v>
      </c>
      <c r="CD1" s="105" t="e">
        <f t="shared" si="1"/>
        <v>#N/A</v>
      </c>
      <c r="CE1" s="105" t="e">
        <f t="shared" si="1"/>
        <v>#N/A</v>
      </c>
      <c r="CF1" s="105" t="e">
        <f t="shared" si="1"/>
        <v>#N/A</v>
      </c>
      <c r="CG1" s="105" t="e">
        <f t="shared" si="1"/>
        <v>#N/A</v>
      </c>
      <c r="CH1" s="105" t="e">
        <f t="shared" si="1"/>
        <v>#N/A</v>
      </c>
      <c r="CI1" s="105" t="e">
        <f t="shared" si="1"/>
        <v>#N/A</v>
      </c>
      <c r="CJ1" s="105" t="e">
        <f t="shared" si="1"/>
        <v>#N/A</v>
      </c>
      <c r="CK1" s="105" t="e">
        <f t="shared" si="1"/>
        <v>#N/A</v>
      </c>
      <c r="CL1" s="105" t="e">
        <f t="shared" si="1"/>
        <v>#N/A</v>
      </c>
      <c r="CM1" s="105" t="e">
        <f t="shared" si="1"/>
        <v>#N/A</v>
      </c>
      <c r="CN1" s="105" t="e">
        <f t="shared" si="1"/>
        <v>#N/A</v>
      </c>
      <c r="CO1" s="105" t="e">
        <f t="shared" ref="CO1:DO1" si="3">VLOOKUP(CoDist,Data2,CO2,FALSE)</f>
        <v>#N/A</v>
      </c>
      <c r="CP1" s="105" t="e">
        <f t="shared" si="3"/>
        <v>#N/A</v>
      </c>
      <c r="CQ1" s="105" t="e">
        <f t="shared" si="3"/>
        <v>#N/A</v>
      </c>
      <c r="CR1" s="105" t="e">
        <f t="shared" si="3"/>
        <v>#N/A</v>
      </c>
      <c r="CS1" s="105" t="e">
        <f t="shared" si="3"/>
        <v>#N/A</v>
      </c>
      <c r="CT1" s="105" t="e">
        <f t="shared" si="3"/>
        <v>#N/A</v>
      </c>
      <c r="CU1" s="105" t="e">
        <f t="shared" si="3"/>
        <v>#N/A</v>
      </c>
      <c r="CV1" s="105" t="e">
        <f t="shared" si="3"/>
        <v>#N/A</v>
      </c>
      <c r="CW1" s="105" t="e">
        <f t="shared" si="3"/>
        <v>#N/A</v>
      </c>
      <c r="CX1" s="105" t="e">
        <f t="shared" si="3"/>
        <v>#N/A</v>
      </c>
      <c r="CY1" s="105" t="e">
        <f t="shared" si="3"/>
        <v>#N/A</v>
      </c>
      <c r="CZ1" s="105" t="e">
        <f t="shared" si="3"/>
        <v>#N/A</v>
      </c>
      <c r="DA1" s="105" t="e">
        <f t="shared" si="3"/>
        <v>#N/A</v>
      </c>
      <c r="DB1" s="105" t="e">
        <f t="shared" si="3"/>
        <v>#N/A</v>
      </c>
      <c r="DC1" s="105" t="e">
        <f t="shared" si="3"/>
        <v>#N/A</v>
      </c>
      <c r="DD1" s="105" t="e">
        <f t="shared" si="3"/>
        <v>#N/A</v>
      </c>
      <c r="DE1" s="105" t="e">
        <f t="shared" si="3"/>
        <v>#N/A</v>
      </c>
      <c r="DF1" s="105" t="e">
        <f t="shared" si="3"/>
        <v>#N/A</v>
      </c>
      <c r="DG1" s="105" t="e">
        <f t="shared" si="3"/>
        <v>#N/A</v>
      </c>
      <c r="DH1" s="105" t="e">
        <f t="shared" si="3"/>
        <v>#N/A</v>
      </c>
      <c r="DI1" s="105" t="e">
        <f t="shared" si="3"/>
        <v>#N/A</v>
      </c>
      <c r="DJ1" s="105" t="e">
        <f t="shared" si="3"/>
        <v>#N/A</v>
      </c>
      <c r="DK1" s="105" t="e">
        <f t="shared" si="3"/>
        <v>#N/A</v>
      </c>
      <c r="DL1" s="105" t="e">
        <f t="shared" si="3"/>
        <v>#N/A</v>
      </c>
      <c r="DM1" s="105" t="e">
        <f t="shared" si="3"/>
        <v>#N/A</v>
      </c>
      <c r="DN1" s="105" t="e">
        <f t="shared" si="3"/>
        <v>#N/A</v>
      </c>
      <c r="DO1" s="105" t="e">
        <f t="shared" si="3"/>
        <v>#N/A</v>
      </c>
    </row>
    <row r="2" spans="1:121" ht="10.199999999999999" x14ac:dyDescent="0.2">
      <c r="A2" s="9">
        <v>1</v>
      </c>
      <c r="B2" s="72">
        <f>+A2+1</f>
        <v>2</v>
      </c>
      <c r="C2" s="9">
        <f t="shared" ref="C2:AC2" si="4">+B2+1</f>
        <v>3</v>
      </c>
      <c r="D2" s="9">
        <f t="shared" si="4"/>
        <v>4</v>
      </c>
      <c r="E2" s="72">
        <f t="shared" si="4"/>
        <v>5</v>
      </c>
      <c r="F2" s="72">
        <f t="shared" si="4"/>
        <v>6</v>
      </c>
      <c r="G2" s="72">
        <f>+F2+1</f>
        <v>7</v>
      </c>
      <c r="H2" s="72">
        <f t="shared" si="4"/>
        <v>8</v>
      </c>
      <c r="I2" s="72">
        <f t="shared" si="4"/>
        <v>9</v>
      </c>
      <c r="J2" s="72">
        <f t="shared" si="4"/>
        <v>10</v>
      </c>
      <c r="K2" s="72">
        <f t="shared" si="4"/>
        <v>11</v>
      </c>
      <c r="L2" s="72">
        <f t="shared" si="4"/>
        <v>12</v>
      </c>
      <c r="M2" s="72">
        <f t="shared" si="4"/>
        <v>13</v>
      </c>
      <c r="N2" s="72">
        <f t="shared" si="4"/>
        <v>14</v>
      </c>
      <c r="O2" s="72">
        <f>+N2+1</f>
        <v>15</v>
      </c>
      <c r="P2" s="72">
        <f t="shared" si="4"/>
        <v>16</v>
      </c>
      <c r="Q2" s="72">
        <f t="shared" si="4"/>
        <v>17</v>
      </c>
      <c r="R2" s="72">
        <f t="shared" si="4"/>
        <v>18</v>
      </c>
      <c r="S2" s="72">
        <f t="shared" si="4"/>
        <v>19</v>
      </c>
      <c r="T2" s="72">
        <f>+S2+1</f>
        <v>20</v>
      </c>
      <c r="U2" s="72">
        <f>+T2+1</f>
        <v>21</v>
      </c>
      <c r="V2" s="72">
        <f t="shared" si="4"/>
        <v>22</v>
      </c>
      <c r="W2" s="72">
        <f t="shared" si="4"/>
        <v>23</v>
      </c>
      <c r="X2" s="72">
        <f t="shared" si="4"/>
        <v>24</v>
      </c>
      <c r="Y2" s="72">
        <f t="shared" si="4"/>
        <v>25</v>
      </c>
      <c r="Z2" s="72">
        <f t="shared" si="4"/>
        <v>26</v>
      </c>
      <c r="AA2" s="72">
        <f t="shared" si="4"/>
        <v>27</v>
      </c>
      <c r="AB2" s="72">
        <f t="shared" si="4"/>
        <v>28</v>
      </c>
      <c r="AC2" s="72">
        <f t="shared" si="4"/>
        <v>29</v>
      </c>
      <c r="AD2" s="72">
        <f>+AC2+1</f>
        <v>30</v>
      </c>
      <c r="AE2" s="72">
        <f>+AD2+1</f>
        <v>31</v>
      </c>
      <c r="AF2" s="72">
        <f t="shared" ref="AF2" si="5">+AE2+1</f>
        <v>32</v>
      </c>
      <c r="AG2" s="72">
        <f t="shared" ref="AG2" si="6">+AF2+1</f>
        <v>33</v>
      </c>
      <c r="AH2" s="72">
        <f>+AG2+1</f>
        <v>34</v>
      </c>
      <c r="AI2" s="72">
        <f t="shared" ref="AI2" si="7">+AH2+1</f>
        <v>35</v>
      </c>
      <c r="AJ2" s="72">
        <f t="shared" ref="AJ2" si="8">+AI2+1</f>
        <v>36</v>
      </c>
      <c r="AK2" s="72">
        <f t="shared" ref="AK2" si="9">+AJ2+1</f>
        <v>37</v>
      </c>
      <c r="AL2" s="72">
        <f t="shared" ref="AL2" si="10">+AK2+1</f>
        <v>38</v>
      </c>
      <c r="AM2" s="72">
        <f t="shared" ref="AM2" si="11">+AL2+1</f>
        <v>39</v>
      </c>
      <c r="AN2" s="72">
        <f t="shared" ref="AN2" si="12">+AM2+1</f>
        <v>40</v>
      </c>
      <c r="AO2" s="72">
        <f t="shared" ref="AO2" si="13">+AN2+1</f>
        <v>41</v>
      </c>
      <c r="AP2" s="72">
        <f t="shared" ref="AP2" si="14">+AO2+1</f>
        <v>42</v>
      </c>
      <c r="AQ2" s="72">
        <f t="shared" ref="AQ2" si="15">+AP2+1</f>
        <v>43</v>
      </c>
      <c r="AR2" s="72">
        <f t="shared" ref="AR2:BW2" si="16">+AQ2+1</f>
        <v>44</v>
      </c>
      <c r="AS2" s="72">
        <f t="shared" si="16"/>
        <v>45</v>
      </c>
      <c r="AT2" s="72">
        <f t="shared" si="16"/>
        <v>46</v>
      </c>
      <c r="AU2" s="72">
        <f t="shared" si="16"/>
        <v>47</v>
      </c>
      <c r="AV2" s="72">
        <f t="shared" si="16"/>
        <v>48</v>
      </c>
      <c r="AW2" s="72">
        <f t="shared" si="16"/>
        <v>49</v>
      </c>
      <c r="AX2" s="72">
        <f t="shared" si="16"/>
        <v>50</v>
      </c>
      <c r="AY2" s="72">
        <f t="shared" si="16"/>
        <v>51</v>
      </c>
      <c r="AZ2" s="72">
        <f t="shared" si="16"/>
        <v>52</v>
      </c>
      <c r="BA2" s="72">
        <f t="shared" si="16"/>
        <v>53</v>
      </c>
      <c r="BB2" s="72">
        <f t="shared" si="16"/>
        <v>54</v>
      </c>
      <c r="BC2" s="72">
        <f>+BB2+1</f>
        <v>55</v>
      </c>
      <c r="BD2" s="72">
        <f t="shared" si="16"/>
        <v>56</v>
      </c>
      <c r="BE2" s="72">
        <f t="shared" si="16"/>
        <v>57</v>
      </c>
      <c r="BF2" s="72">
        <f t="shared" si="16"/>
        <v>58</v>
      </c>
      <c r="BG2" s="72">
        <f t="shared" si="16"/>
        <v>59</v>
      </c>
      <c r="BH2" s="72">
        <f t="shared" si="16"/>
        <v>60</v>
      </c>
      <c r="BI2" s="72">
        <f t="shared" si="16"/>
        <v>61</v>
      </c>
      <c r="BJ2" s="72">
        <f t="shared" si="16"/>
        <v>62</v>
      </c>
      <c r="BK2" s="72">
        <f t="shared" si="16"/>
        <v>63</v>
      </c>
      <c r="BL2" s="72">
        <f t="shared" si="16"/>
        <v>64</v>
      </c>
      <c r="BM2" s="72">
        <f t="shared" si="16"/>
        <v>65</v>
      </c>
      <c r="BN2" s="72">
        <f t="shared" si="16"/>
        <v>66</v>
      </c>
      <c r="BO2" s="72">
        <f t="shared" si="16"/>
        <v>67</v>
      </c>
      <c r="BP2" s="72">
        <f t="shared" si="16"/>
        <v>68</v>
      </c>
      <c r="BQ2" s="72">
        <f t="shared" si="16"/>
        <v>69</v>
      </c>
      <c r="BR2" s="72">
        <f t="shared" si="16"/>
        <v>70</v>
      </c>
      <c r="BS2" s="72">
        <f t="shared" si="16"/>
        <v>71</v>
      </c>
      <c r="BT2" s="72">
        <f t="shared" si="16"/>
        <v>72</v>
      </c>
      <c r="BU2" s="72">
        <f t="shared" ref="BU2" si="17">+BT2+1</f>
        <v>73</v>
      </c>
      <c r="BV2" s="72">
        <f t="shared" si="16"/>
        <v>74</v>
      </c>
      <c r="BW2" s="72">
        <f t="shared" si="16"/>
        <v>75</v>
      </c>
      <c r="BX2" s="72">
        <f t="shared" ref="BX2:DE2" si="18">+BW2+1</f>
        <v>76</v>
      </c>
      <c r="BY2" s="72">
        <f t="shared" si="18"/>
        <v>77</v>
      </c>
      <c r="BZ2" s="72">
        <f t="shared" si="18"/>
        <v>78</v>
      </c>
      <c r="CA2" s="72">
        <f t="shared" si="18"/>
        <v>79</v>
      </c>
      <c r="CB2" s="72">
        <f t="shared" si="18"/>
        <v>80</v>
      </c>
      <c r="CC2" s="72">
        <f t="shared" si="18"/>
        <v>81</v>
      </c>
      <c r="CD2" s="72">
        <f t="shared" si="18"/>
        <v>82</v>
      </c>
      <c r="CE2" s="72">
        <f t="shared" si="18"/>
        <v>83</v>
      </c>
      <c r="CF2" s="72">
        <f t="shared" si="18"/>
        <v>84</v>
      </c>
      <c r="CG2" s="72">
        <f t="shared" si="18"/>
        <v>85</v>
      </c>
      <c r="CH2" s="72">
        <f t="shared" si="18"/>
        <v>86</v>
      </c>
      <c r="CI2" s="72">
        <f t="shared" ref="CI2" si="19">+CH2+1</f>
        <v>87</v>
      </c>
      <c r="CJ2" s="72">
        <f t="shared" ref="CJ2" si="20">+CI2+1</f>
        <v>88</v>
      </c>
      <c r="CK2" s="72">
        <f t="shared" ref="CK2" si="21">+CJ2+1</f>
        <v>89</v>
      </c>
      <c r="CL2" s="72">
        <f t="shared" si="18"/>
        <v>90</v>
      </c>
      <c r="CM2" s="72">
        <f t="shared" si="18"/>
        <v>91</v>
      </c>
      <c r="CN2" s="72">
        <f t="shared" si="18"/>
        <v>92</v>
      </c>
      <c r="CO2" s="72">
        <f>+CN2+1</f>
        <v>93</v>
      </c>
      <c r="CP2" s="72">
        <f t="shared" si="18"/>
        <v>94</v>
      </c>
      <c r="CQ2" s="72">
        <f t="shared" si="18"/>
        <v>95</v>
      </c>
      <c r="CR2" s="72">
        <f t="shared" si="18"/>
        <v>96</v>
      </c>
      <c r="CS2" s="72">
        <f t="shared" si="18"/>
        <v>97</v>
      </c>
      <c r="CT2" s="72">
        <f t="shared" si="18"/>
        <v>98</v>
      </c>
      <c r="CU2" s="72">
        <f t="shared" si="18"/>
        <v>99</v>
      </c>
      <c r="CV2" s="72">
        <f t="shared" si="18"/>
        <v>100</v>
      </c>
      <c r="CW2" s="72">
        <f t="shared" si="18"/>
        <v>101</v>
      </c>
      <c r="CX2" s="72">
        <f t="shared" si="18"/>
        <v>102</v>
      </c>
      <c r="CY2" s="72">
        <f t="shared" si="18"/>
        <v>103</v>
      </c>
      <c r="CZ2" s="72">
        <f t="shared" si="18"/>
        <v>104</v>
      </c>
      <c r="DA2" s="72">
        <f t="shared" si="18"/>
        <v>105</v>
      </c>
      <c r="DB2" s="72">
        <f t="shared" si="18"/>
        <v>106</v>
      </c>
      <c r="DC2" s="72">
        <f t="shared" si="18"/>
        <v>107</v>
      </c>
      <c r="DD2" s="72">
        <f t="shared" si="18"/>
        <v>108</v>
      </c>
      <c r="DE2" s="72">
        <f t="shared" si="18"/>
        <v>109</v>
      </c>
      <c r="DF2" s="72">
        <f t="shared" ref="DF2:DO2" si="22">+DE2+1</f>
        <v>110</v>
      </c>
      <c r="DG2" s="72">
        <f t="shared" si="22"/>
        <v>111</v>
      </c>
      <c r="DH2" s="72">
        <f t="shared" si="22"/>
        <v>112</v>
      </c>
      <c r="DI2" s="72">
        <f t="shared" si="22"/>
        <v>113</v>
      </c>
      <c r="DJ2" s="72">
        <f t="shared" si="22"/>
        <v>114</v>
      </c>
      <c r="DK2" s="72">
        <f t="shared" si="22"/>
        <v>115</v>
      </c>
      <c r="DL2" s="72">
        <f t="shared" si="22"/>
        <v>116</v>
      </c>
      <c r="DM2" s="72">
        <f t="shared" si="22"/>
        <v>117</v>
      </c>
      <c r="DN2" s="72">
        <f t="shared" si="22"/>
        <v>118</v>
      </c>
      <c r="DO2" s="72">
        <f t="shared" si="22"/>
        <v>119</v>
      </c>
    </row>
    <row r="3" spans="1:121" ht="10.199999999999999" x14ac:dyDescent="0.2">
      <c r="B3" s="103"/>
      <c r="C3" s="102"/>
      <c r="F3" s="14"/>
      <c r="G3" s="14"/>
      <c r="H3" s="14"/>
      <c r="I3" s="14"/>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34"/>
      <c r="AI3" s="102"/>
      <c r="AJ3" s="102"/>
      <c r="AK3" s="102"/>
      <c r="AL3" s="102"/>
      <c r="AM3" s="102"/>
      <c r="AN3" s="102"/>
      <c r="AO3" s="102"/>
      <c r="AP3" s="102"/>
      <c r="AQ3" s="102"/>
      <c r="AR3" s="102"/>
      <c r="AS3" s="102"/>
      <c r="AT3" s="102"/>
      <c r="AU3" s="107"/>
      <c r="AV3" s="102"/>
      <c r="AW3" s="102"/>
      <c r="AX3" s="107"/>
      <c r="AY3" s="102"/>
      <c r="AZ3" s="102"/>
      <c r="BA3" s="102"/>
      <c r="BB3" s="102"/>
      <c r="BC3" s="104"/>
      <c r="BD3" s="104"/>
      <c r="BE3" s="9"/>
      <c r="BF3" s="9"/>
      <c r="CQ3" s="73"/>
      <c r="CS3" s="9" t="s">
        <v>882</v>
      </c>
      <c r="CU3" s="120">
        <v>3</v>
      </c>
      <c r="CV3" s="120">
        <v>5</v>
      </c>
      <c r="CW3" s="120">
        <v>6</v>
      </c>
      <c r="CX3" s="120">
        <v>7</v>
      </c>
      <c r="CY3" s="120">
        <v>8</v>
      </c>
      <c r="DA3" s="9" t="s">
        <v>828</v>
      </c>
    </row>
    <row r="4" spans="1:121" s="11" customFormat="1" ht="52.8" x14ac:dyDescent="0.35">
      <c r="A4" s="183" t="s">
        <v>340</v>
      </c>
      <c r="B4" s="184" t="s">
        <v>810</v>
      </c>
      <c r="C4" s="183" t="s">
        <v>286</v>
      </c>
      <c r="D4" s="183" t="s">
        <v>703</v>
      </c>
      <c r="E4" s="183" t="s">
        <v>341</v>
      </c>
      <c r="F4" s="278" t="s">
        <v>0</v>
      </c>
      <c r="G4" s="278" t="s">
        <v>229</v>
      </c>
      <c r="H4" s="279" t="s">
        <v>807</v>
      </c>
      <c r="I4" s="278" t="s">
        <v>808</v>
      </c>
      <c r="J4" s="183" t="s">
        <v>809</v>
      </c>
      <c r="K4" s="183" t="s">
        <v>969</v>
      </c>
      <c r="L4" s="239" t="s">
        <v>927</v>
      </c>
      <c r="M4" s="183" t="s">
        <v>18</v>
      </c>
      <c r="N4" s="282" t="s">
        <v>2</v>
      </c>
      <c r="O4" s="278" t="s">
        <v>1097</v>
      </c>
      <c r="P4" s="278" t="s">
        <v>1098</v>
      </c>
      <c r="Q4" s="278" t="s">
        <v>16</v>
      </c>
      <c r="R4" s="278" t="s">
        <v>17</v>
      </c>
      <c r="S4" s="282" t="s">
        <v>3</v>
      </c>
      <c r="T4" s="278" t="s">
        <v>4</v>
      </c>
      <c r="U4" s="278" t="s">
        <v>830</v>
      </c>
      <c r="V4" s="278" t="s">
        <v>831</v>
      </c>
      <c r="W4" s="278" t="s">
        <v>1018</v>
      </c>
      <c r="X4" s="278" t="s">
        <v>834</v>
      </c>
      <c r="Y4" s="278" t="s">
        <v>5</v>
      </c>
      <c r="Z4" s="278" t="s">
        <v>6</v>
      </c>
      <c r="AA4" s="278" t="s">
        <v>7</v>
      </c>
      <c r="AB4" s="278" t="s">
        <v>8</v>
      </c>
      <c r="AC4" s="278" t="s">
        <v>9</v>
      </c>
      <c r="AD4" s="278" t="s">
        <v>10</v>
      </c>
      <c r="AE4" s="278" t="s">
        <v>835</v>
      </c>
      <c r="AF4" s="278" t="s">
        <v>836</v>
      </c>
      <c r="AG4" s="278" t="s">
        <v>837</v>
      </c>
      <c r="AH4" s="278" t="s">
        <v>869</v>
      </c>
      <c r="AI4" s="278" t="s">
        <v>12</v>
      </c>
      <c r="AJ4" s="278" t="s">
        <v>970</v>
      </c>
      <c r="AK4" s="278" t="s">
        <v>1140</v>
      </c>
      <c r="AL4" s="278" t="s">
        <v>1141</v>
      </c>
      <c r="AM4" s="278" t="s">
        <v>1142</v>
      </c>
      <c r="AN4" s="278" t="s">
        <v>1143</v>
      </c>
      <c r="AO4" s="278" t="s">
        <v>1103</v>
      </c>
      <c r="AP4" s="183" t="s">
        <v>1133</v>
      </c>
      <c r="AQ4" s="278" t="s">
        <v>11</v>
      </c>
      <c r="AR4" s="278" t="s">
        <v>14</v>
      </c>
      <c r="AS4" s="278" t="s">
        <v>1160</v>
      </c>
      <c r="AT4" s="278" t="s">
        <v>1161</v>
      </c>
      <c r="AU4" s="281" t="s">
        <v>1162</v>
      </c>
      <c r="AV4" s="278" t="s">
        <v>1163</v>
      </c>
      <c r="AW4" s="183" t="s">
        <v>931</v>
      </c>
      <c r="AX4" s="246" t="s">
        <v>1164</v>
      </c>
      <c r="AY4" s="278" t="s">
        <v>237</v>
      </c>
      <c r="AZ4" s="278" t="s">
        <v>236</v>
      </c>
      <c r="BA4" s="278" t="s">
        <v>240</v>
      </c>
      <c r="BB4" s="278" t="s">
        <v>1010</v>
      </c>
      <c r="BC4" s="174" t="s">
        <v>811</v>
      </c>
      <c r="BD4" s="174" t="s">
        <v>820</v>
      </c>
      <c r="BE4" s="276" t="s">
        <v>922</v>
      </c>
      <c r="BF4" s="276" t="s">
        <v>923</v>
      </c>
      <c r="BH4" s="185" t="s">
        <v>995</v>
      </c>
      <c r="BI4" s="185" t="s">
        <v>868</v>
      </c>
      <c r="BJ4" s="185" t="s">
        <v>1106</v>
      </c>
      <c r="BK4" s="186" t="s">
        <v>207</v>
      </c>
      <c r="BL4" s="186" t="s">
        <v>208</v>
      </c>
      <c r="BM4" s="186" t="s">
        <v>209</v>
      </c>
      <c r="BN4" s="186" t="s">
        <v>210</v>
      </c>
      <c r="BO4" s="186" t="s">
        <v>211</v>
      </c>
      <c r="BP4" s="186" t="s">
        <v>220</v>
      </c>
      <c r="BQ4" s="186" t="s">
        <v>222</v>
      </c>
      <c r="BR4" s="186" t="s">
        <v>857</v>
      </c>
      <c r="BS4" s="186" t="s">
        <v>858</v>
      </c>
      <c r="BT4" s="186" t="s">
        <v>859</v>
      </c>
      <c r="BU4" s="186" t="s">
        <v>1104</v>
      </c>
      <c r="BV4" s="186" t="s">
        <v>1105</v>
      </c>
      <c r="BW4" s="186" t="s">
        <v>860</v>
      </c>
      <c r="BX4" s="186" t="s">
        <v>835</v>
      </c>
      <c r="BY4" s="186" t="s">
        <v>836</v>
      </c>
      <c r="BZ4" s="186" t="s">
        <v>837</v>
      </c>
      <c r="CA4" s="186" t="s">
        <v>826</v>
      </c>
      <c r="CB4" s="186" t="s">
        <v>779</v>
      </c>
      <c r="CC4" s="186" t="s">
        <v>970</v>
      </c>
      <c r="CD4" s="186" t="s">
        <v>861</v>
      </c>
      <c r="CE4" s="186" t="s">
        <v>862</v>
      </c>
      <c r="CF4" s="186" t="s">
        <v>929</v>
      </c>
      <c r="CG4" s="186" t="s">
        <v>930</v>
      </c>
      <c r="CH4" s="186" t="s">
        <v>863</v>
      </c>
      <c r="CI4" s="186" t="s">
        <v>1140</v>
      </c>
      <c r="CJ4" s="186" t="s">
        <v>1144</v>
      </c>
      <c r="CK4" s="186" t="s">
        <v>864</v>
      </c>
      <c r="CL4" s="186" t="s">
        <v>1145</v>
      </c>
      <c r="CM4" s="186" t="s">
        <v>1146</v>
      </c>
      <c r="CN4" s="186" t="s">
        <v>865</v>
      </c>
      <c r="CO4" s="186" t="s">
        <v>866</v>
      </c>
      <c r="CP4" s="186" t="s">
        <v>1022</v>
      </c>
      <c r="CQ4" s="186" t="s">
        <v>990</v>
      </c>
      <c r="CR4" s="186" t="s">
        <v>996</v>
      </c>
      <c r="CS4" s="186" t="s">
        <v>780</v>
      </c>
      <c r="CT4" s="186" t="s">
        <v>867</v>
      </c>
      <c r="CU4" s="277" t="s">
        <v>770</v>
      </c>
      <c r="CV4" s="277" t="s">
        <v>490</v>
      </c>
      <c r="CW4" s="277" t="s">
        <v>491</v>
      </c>
      <c r="CX4" s="277" t="s">
        <v>789</v>
      </c>
      <c r="CY4" s="277" t="s">
        <v>797</v>
      </c>
      <c r="DA4" s="186" t="s">
        <v>780</v>
      </c>
      <c r="DB4" s="186" t="s">
        <v>867</v>
      </c>
      <c r="DC4" s="277" t="s">
        <v>770</v>
      </c>
      <c r="DD4" s="277" t="s">
        <v>490</v>
      </c>
      <c r="DE4" s="277" t="s">
        <v>491</v>
      </c>
      <c r="DF4" s="277" t="s">
        <v>789</v>
      </c>
      <c r="DG4" s="277" t="s">
        <v>797</v>
      </c>
      <c r="DI4" s="186" t="s">
        <v>780</v>
      </c>
      <c r="DJ4" s="186" t="s">
        <v>867</v>
      </c>
      <c r="DK4" s="277" t="s">
        <v>770</v>
      </c>
      <c r="DL4" s="277" t="s">
        <v>490</v>
      </c>
      <c r="DM4" s="277" t="s">
        <v>491</v>
      </c>
      <c r="DN4" s="277" t="s">
        <v>789</v>
      </c>
      <c r="DO4" s="277" t="s">
        <v>797</v>
      </c>
    </row>
    <row r="5" spans="1:121" ht="10.199999999999999" x14ac:dyDescent="0.2">
      <c r="A5" s="4" t="s">
        <v>497</v>
      </c>
      <c r="B5" s="72">
        <v>1065</v>
      </c>
      <c r="C5" s="13" t="s">
        <v>23</v>
      </c>
      <c r="D5" s="4">
        <v>2027</v>
      </c>
      <c r="E5" s="4" t="s">
        <v>342</v>
      </c>
      <c r="F5" s="4">
        <v>1</v>
      </c>
      <c r="G5" s="4" t="s">
        <v>680</v>
      </c>
      <c r="H5" s="4">
        <v>100</v>
      </c>
      <c r="I5" s="4" t="s">
        <v>1152</v>
      </c>
      <c r="J5" s="5">
        <v>3490694.48</v>
      </c>
      <c r="K5" s="5">
        <v>361.88</v>
      </c>
      <c r="L5" s="5">
        <v>860.94</v>
      </c>
      <c r="M5" s="5">
        <v>0</v>
      </c>
      <c r="N5" s="5">
        <v>16343356</v>
      </c>
      <c r="O5" s="5">
        <v>13.65</v>
      </c>
      <c r="P5" s="5">
        <v>118.13000000000001</v>
      </c>
      <c r="Q5" s="5">
        <v>0</v>
      </c>
      <c r="R5" s="5">
        <v>0</v>
      </c>
      <c r="S5" s="5">
        <v>6800</v>
      </c>
      <c r="T5" s="5">
        <v>0</v>
      </c>
      <c r="U5" s="5">
        <v>0</v>
      </c>
      <c r="V5" s="5">
        <v>337802.2</v>
      </c>
      <c r="W5" s="5">
        <v>1468.14</v>
      </c>
      <c r="X5" s="5">
        <v>26387.24</v>
      </c>
      <c r="Y5" s="5">
        <v>0.46</v>
      </c>
      <c r="Z5" s="5">
        <v>20</v>
      </c>
      <c r="AA5" s="5">
        <v>124</v>
      </c>
      <c r="AB5" s="5">
        <v>61</v>
      </c>
      <c r="AC5" s="5">
        <v>78</v>
      </c>
      <c r="AD5" s="5">
        <v>0</v>
      </c>
      <c r="AE5" s="5">
        <v>3.03</v>
      </c>
      <c r="AF5" s="5">
        <v>1.27</v>
      </c>
      <c r="AG5" s="5">
        <v>4</v>
      </c>
      <c r="AH5" s="5">
        <v>0.254</v>
      </c>
      <c r="AI5" s="5">
        <v>0</v>
      </c>
      <c r="AJ5" s="5">
        <v>0</v>
      </c>
      <c r="AK5" s="5">
        <v>0</v>
      </c>
      <c r="AL5" s="5">
        <v>291</v>
      </c>
      <c r="AM5" s="5">
        <v>1.0299999999999727</v>
      </c>
      <c r="AN5" s="5">
        <v>283</v>
      </c>
      <c r="AO5" s="5">
        <f>MAX(AL5-SUM(Z5:AD5),0)</f>
        <v>8</v>
      </c>
      <c r="AP5" s="5">
        <f>IF(AM5&gt;0,SUM(Z5:AD5)-AN5,0)</f>
        <v>0</v>
      </c>
      <c r="AQ5" s="5">
        <v>5.75</v>
      </c>
      <c r="AR5" s="5">
        <v>0</v>
      </c>
      <c r="AS5" s="5">
        <v>0</v>
      </c>
      <c r="AT5" s="5">
        <v>150069.6</v>
      </c>
      <c r="AU5" s="5">
        <v>0</v>
      </c>
      <c r="AV5" s="5">
        <v>1710</v>
      </c>
      <c r="AW5" s="5">
        <v>860.94</v>
      </c>
      <c r="AX5" s="5">
        <v>1</v>
      </c>
      <c r="AY5" s="199">
        <v>0</v>
      </c>
      <c r="AZ5" s="199">
        <v>0</v>
      </c>
      <c r="BA5" s="5">
        <v>239734.31</v>
      </c>
      <c r="BB5" s="13">
        <v>959003.82</v>
      </c>
      <c r="BC5" s="101">
        <f>MAX(ROUND(IF(F5&lt;4,IF(H5=0,(SUM(Y5:AD5)*Worksheet!$E$26+Y5*Worksheet!$E$27+AR5*Worksheet!$E$39)*-BaseRate,0)),2),MIN(0,-DI5))</f>
        <v>0</v>
      </c>
      <c r="BD5" s="101">
        <f>MAX(ROUND(IF(F5=4,0,IF(I5=0,0,ROUND(SUM(Y5:AD5)*Worksheet!$E$28,2)*-BaseRate)),2),MIN(0,-DI5-BC5))</f>
        <v>-6630.81</v>
      </c>
      <c r="BE5" s="130">
        <f t="shared" ref="BE5:BE68" si="23">IF($BC5=0,0,VLOOKUP($G5,$A$5:$B$210,2,FALSE))</f>
        <v>0</v>
      </c>
      <c r="BF5" s="130">
        <f t="shared" ref="BF5:BF68" si="24">IF($BD5=0,0,VLOOKUP($I5,$A$5:$B$210,2,FALSE))</f>
        <v>1412</v>
      </c>
      <c r="BG5" s="73"/>
      <c r="BH5" s="147">
        <f t="shared" ref="BH5:BH68" si="25">ROUND(IF(CL5=0,0,IF(N5/CL5&lt;0.2*STVPP,STVPP*0.2,N5/CL5)),2)</f>
        <v>43465.22</v>
      </c>
      <c r="BI5" s="118">
        <f t="shared" ref="BI5:BI68" si="26">IF(K5=0,0,ROUND(J5/K5,2))</f>
        <v>9646</v>
      </c>
      <c r="BJ5" s="232">
        <f>IFERROR(ROUND(IF(AND(BB5*1.12&lt;N5*60/1000,N5/CL5&lt;STVPP*0.2),(CL5*STVPP*0.2*Worksheet!$F$88/1000-BB5*1.12)*PropTaxAdj,IF(BB5*1.12&lt;N5*60/1000,(N5*60/1000-BB5*1.12)*PropTaxAdj,0)),2),0)</f>
        <v>0</v>
      </c>
      <c r="BK5" s="116">
        <f>ROUND(IF($F5=4,0,Y5*Worksheet!$E$16),2)</f>
        <v>0.46</v>
      </c>
      <c r="BL5" s="116">
        <f>ROUND(IF($F5=4,0,Z5*Worksheet!$E$17),2)</f>
        <v>20</v>
      </c>
      <c r="BM5" s="116">
        <f>ROUND(IF($F5=4,0,AA5*Worksheet!$E$18),2)</f>
        <v>124</v>
      </c>
      <c r="BN5" s="116">
        <f>ROUND(IF($F5=4,0,AB5*Worksheet!$E$19),2)</f>
        <v>61</v>
      </c>
      <c r="BO5" s="116">
        <f>ROUND(IF($F5=4,0,AC5*Worksheet!$E$20),2)</f>
        <v>78</v>
      </c>
      <c r="BP5" s="116">
        <f>ROUND(AD5*Worksheet!$E$21,2)</f>
        <v>0</v>
      </c>
      <c r="BQ5" s="116">
        <f t="shared" ref="BQ5:BQ66" si="27">SUM(BK5:BP5)</f>
        <v>283.46000000000004</v>
      </c>
      <c r="BR5" s="116">
        <f>ROUND(AD5*Worksheet!$E$25,2)</f>
        <v>0</v>
      </c>
      <c r="BS5" s="116">
        <f>ROUND(SUM(BQ5)*Worksheet!$E$26,2)</f>
        <v>24.94</v>
      </c>
      <c r="BT5" s="116">
        <f>ROUND(Y5*Worksheet!$E$27,2)</f>
        <v>0.08</v>
      </c>
      <c r="BU5" s="116">
        <f>ROUND(AO5*Worksheet!$E$29,2)</f>
        <v>8</v>
      </c>
      <c r="BV5" s="116">
        <f>ROUND(AP5*Worksheet!$E$30,2)</f>
        <v>0</v>
      </c>
      <c r="BW5" s="116">
        <f>ROUND(IF($I5&lt;&gt;0,$BQ5*Worksheet!$E$28,0),2)</f>
        <v>0.56999999999999995</v>
      </c>
      <c r="BX5" s="116">
        <f>ROUND(AE5*Worksheet!$E$31,2)</f>
        <v>1.21</v>
      </c>
      <c r="BY5" s="116">
        <f>ROUND(AF5*Worksheet!$E$32,2)</f>
        <v>0.36</v>
      </c>
      <c r="BZ5" s="116">
        <f>ROUND(AG5*Worksheet!$E$33,2)</f>
        <v>0.28000000000000003</v>
      </c>
      <c r="CA5" s="116">
        <f>ROUND(ROUND(AH5*BQ5,2)*Worksheet!$E$34,2)</f>
        <v>1.8</v>
      </c>
      <c r="CB5" s="116">
        <f>ROUND(AI5*Worksheet!$E$35,2)</f>
        <v>0</v>
      </c>
      <c r="CC5" s="116">
        <f>ROUND(AJ5*Worksheet!$E$36,2)</f>
        <v>0</v>
      </c>
      <c r="CD5" s="116">
        <f>ROUND(AQ5*Worksheet!$E$38,2)</f>
        <v>3.45</v>
      </c>
      <c r="CE5" s="116">
        <f>ROUND(AR5*Worksheet!$E$39,2)</f>
        <v>0</v>
      </c>
      <c r="CF5" s="131">
        <f>IF(AND(L5&gt;275,SUM(Y5:AD5)&lt;100),ROUND(SUM(Y5:AD5)*Worksheet!$E$41,2),0)</f>
        <v>0</v>
      </c>
      <c r="CG5" s="116">
        <f>IF(AND(L5&gt;600,SUM(Y5:AD5)&lt;50),ROUND((50-SUM(Y5:AD5))*(Worksheet!$E$41+1),2),0)</f>
        <v>0</v>
      </c>
      <c r="CH5" s="116">
        <f t="shared" ref="CH5:CH66" si="28">SUM(BQ5:CG5)</f>
        <v>324.14999999999998</v>
      </c>
      <c r="CI5" s="116">
        <f>AK5</f>
        <v>0</v>
      </c>
      <c r="CJ5" s="116">
        <f>CH5-CI5</f>
        <v>324.14999999999998</v>
      </c>
      <c r="CK5" s="95">
        <f t="shared" ref="CK5:CK68" si="29">ROUND(IF(BQ5=0,0,IF(M5=0,IF(F5=1,MAX(VLOOKUP(BQ5,FactorTable,4,TRUE),VLOOKUP(BQ5,FactorTable,5,TRUE)/BQ5),MAX(VLOOKUP(ROUND(BQ5/0.6,2),FactorTable,4,TRUE),VLOOKUP(ROUND(BQ5/0.6,2),FactorTable,5,TRUE)/(ROUND(BQ5/0.6,2)))),VLOOKUP(A5,FactorTableR,5,FALSE))),4)</f>
        <v>1.1599999999999999</v>
      </c>
      <c r="CL5" s="116">
        <f>ROUND(+CK5*CJ5,2)</f>
        <v>376.01</v>
      </c>
      <c r="CM5" s="116">
        <f>CL5+CI5</f>
        <v>376.01</v>
      </c>
      <c r="CN5" s="116">
        <f t="shared" ref="CN5:CN68" si="30">ROUND(+CM5*BaseRate,2)</f>
        <v>4374124.33</v>
      </c>
      <c r="CO5" s="131">
        <f>ROUND(IF(F5=4,0,(MAX(ROUND(MAX((BI5*MIN(CL5,K5)*Worksheet!$D$126)+MAX(CL5-K5,0)*Worksheet!$F$50,SUM(J5)),2),SUM(CN5))-SUM(CN5))*MinAdj),2)</f>
        <v>0</v>
      </c>
      <c r="CP5" s="116">
        <f t="shared" ref="CP5:CP68" si="31">SUM(CN5:CO5)</f>
        <v>4374124.33</v>
      </c>
      <c r="CQ5" s="131">
        <f>IF(CL5=0,0,-MIN(CP5,MIN(CP5,ROUND(IF(ROUND(IF(CL5=0,0,N5/CL5),2)&lt;STVPP*0.2,STVPP*0.2*CL5*Worksheet!$F$88/1000,N5*Worksheet!$F$88/1000),2))))</f>
        <v>-980601.36</v>
      </c>
      <c r="CR5" s="131">
        <f>-MIN(SUM(CP5,CQ5),IF($P5=0,(ROUND(Worksheet!$E$77*S5,2)+ROUND(Worksheet!$E$78*T5,2)+ROUND(Worksheet!$E$79*U5,2)+ROUND(Worksheet!$E$80*V5,2)+ROUND(Worksheet!$E$81*W5,2)+ROUND(Worksheet!$E$82*X5,2)),(ROUND(ROUND(S5*ROUND((1-$O5/$P5),4),2)*Worksheet!$E$77,2)+ROUND(ROUND(T5*ROUND((1-$O5/$P5),4),2)*Worksheet!$E$78,2)+ROUND(ROUND(U5*ROUND((1-$O5/$P5),4),2)*Worksheet!$E$79,2)+ROUND(ROUND(V5*ROUND((1-$O5/$P5),4),2)*Worksheet!$E$80,2)+ROUND(ROUND(W5*ROUND((1-$O5/$P5),4),2)*Worksheet!$E$81,2)+ROUND(ROUND(X5*ROUND((1-$O5/$P5),4),2)*Worksheet!$E$82,2))))</f>
        <v>-247051.12000000002</v>
      </c>
      <c r="CS5" s="116">
        <f t="shared" ref="CS5:CS66" si="32">SUM(CP5:CR5)</f>
        <v>3146471.85</v>
      </c>
      <c r="CT5" s="116">
        <f>ROUND(MIN(BA5,ROUND((ROUND(AS5*Worksheet!$E$104,2)+ROUND(AV5*Worksheet!$E$107,2)+ROUND(AT5*Worksheet!$E$105,2)+ROUND(AW5*Worksheet!$E$108,2)+ROUND(AU5*Worksheet!$E$106,2)+ROUND(AX5*Worksheet!$E$109,2)+ROUND(AY5*Worksheet!$E$110,2)+ROUND(AZ5*Worksheet!$E$111,2))*Worksheet!$D$114,2))*BaseRate,2)</f>
        <v>205904.1</v>
      </c>
      <c r="CU5" s="121">
        <v>0</v>
      </c>
      <c r="CV5" s="121">
        <v>0</v>
      </c>
      <c r="CW5" s="121">
        <v>0</v>
      </c>
      <c r="CX5" s="121">
        <v>0</v>
      </c>
      <c r="CY5" s="121">
        <v>0</v>
      </c>
      <c r="DA5" s="116">
        <f t="shared" ref="DA5:DA66" si="33">MAX(-CS5,MIN(0,ROUND($R5*EFBPercent+EFBAdd,2)-$Q5))</f>
        <v>0</v>
      </c>
      <c r="DB5" s="116">
        <f>MAX(-CT5,MIN(0,ROUND($R5*EFBPercent+EFBAdd,2)-$Q5),MIN(0,SUM($CS5:CS5)+MIN(0,ROUND($R5*EFBPercent+EFBAdd,2)-$Q5)))</f>
        <v>0</v>
      </c>
      <c r="DC5" s="192">
        <f>IF(CU5&lt;0,0,MAX(-CU5,MIN(0,ROUND($R5*EFBPercent+EFBAdd,2)-$Q5),MIN(0,SUM($CS5:CT5)+MIN(0,ROUND($R5*EFBPercent+EFBAdd,2)-$Q5))))</f>
        <v>0</v>
      </c>
      <c r="DD5" s="192">
        <f>IF(CV5&lt;0,0,MAX(-CV5,MIN(0,ROUND($R5*EFBPercent+EFBAdd,2)-$Q5),MIN(0,SUM($CS5:CU5)+MIN(0,ROUND($R5*EFBPercent+EFBAdd,2)-$Q5))))</f>
        <v>0</v>
      </c>
      <c r="DE5" s="192">
        <f>IF(CW5&lt;0,0,MAX(-CW5,MIN(0,ROUND($R5*EFBPercent+EFBAdd,2)-$Q5),MIN(0,SUM($CS5:CV5)+MIN(0,ROUND($R5*EFBPercent+EFBAdd,2)-$Q5))))</f>
        <v>0</v>
      </c>
      <c r="DF5" s="192">
        <f>IF(CX5&lt;0,0,MAX(-CX5,MIN(0,ROUND($R5*EFBPercent+EFBAdd,2)-$Q5),MIN(0,SUM($CS5:CW5)+MIN(0,ROUND($R5*EFBPercent+EFBAdd,2)-$Q5))))</f>
        <v>0</v>
      </c>
      <c r="DG5" s="116">
        <f>MAX(-CY5,MIN(0,ROUND($R5*EFBPercent+EFBAdd,2)-$Q5),MIN(0,SUM($CS5:CX5)+MIN(0,ROUND($R5*EFBPercent+EFBAdd,2)-$Q5)))</f>
        <v>0</v>
      </c>
      <c r="DI5" s="73">
        <f t="shared" ref="DI5:DI66" si="34">+CS5+DA5</f>
        <v>3146471.85</v>
      </c>
      <c r="DJ5" s="73">
        <f t="shared" ref="DJ5:DJ66" si="35">+CT5+DB5</f>
        <v>205904.1</v>
      </c>
      <c r="DK5" s="73">
        <f t="shared" ref="DK5:DK66" si="36">+CU5+DC5</f>
        <v>0</v>
      </c>
      <c r="DL5" s="73">
        <f t="shared" ref="DL5:DL66" si="37">+CV5+DD5</f>
        <v>0</v>
      </c>
      <c r="DM5" s="73">
        <f t="shared" ref="DM5:DM66" si="38">+CW5+DE5</f>
        <v>0</v>
      </c>
      <c r="DN5" s="73">
        <f t="shared" ref="DN5:DN66" si="39">+CX5+DF5</f>
        <v>0</v>
      </c>
      <c r="DO5" s="73">
        <f t="shared" ref="DO5:DO66" si="40">+CY5+DG5</f>
        <v>0</v>
      </c>
      <c r="DP5" s="73"/>
      <c r="DQ5" s="73"/>
    </row>
    <row r="6" spans="1:121" ht="10.199999999999999" x14ac:dyDescent="0.2">
      <c r="A6" s="4" t="s">
        <v>498</v>
      </c>
      <c r="B6" s="72">
        <v>1164</v>
      </c>
      <c r="C6" s="13" t="s">
        <v>24</v>
      </c>
      <c r="D6" s="4">
        <v>2027</v>
      </c>
      <c r="E6" s="4" t="s">
        <v>343</v>
      </c>
      <c r="F6" s="4">
        <v>1</v>
      </c>
      <c r="G6" s="4" t="s">
        <v>658</v>
      </c>
      <c r="H6" s="4">
        <v>0</v>
      </c>
      <c r="I6" s="4" t="s">
        <v>853</v>
      </c>
      <c r="J6" s="5">
        <v>11490604.569999998</v>
      </c>
      <c r="K6" s="5">
        <v>1191.23</v>
      </c>
      <c r="L6" s="5">
        <v>357.94</v>
      </c>
      <c r="M6" s="5">
        <v>0</v>
      </c>
      <c r="N6" s="5">
        <v>50521441</v>
      </c>
      <c r="O6" s="5">
        <v>0</v>
      </c>
      <c r="P6" s="5">
        <v>97.92</v>
      </c>
      <c r="Q6" s="5">
        <v>0</v>
      </c>
      <c r="R6" s="5">
        <v>0</v>
      </c>
      <c r="S6" s="5">
        <v>17245.47</v>
      </c>
      <c r="T6" s="5">
        <v>0</v>
      </c>
      <c r="U6" s="5">
        <v>1029.32</v>
      </c>
      <c r="V6" s="5">
        <v>20318.099999999999</v>
      </c>
      <c r="W6" s="5">
        <v>6893.51</v>
      </c>
      <c r="X6" s="5">
        <v>46492.03</v>
      </c>
      <c r="Y6" s="5">
        <v>12.36</v>
      </c>
      <c r="Z6" s="5">
        <v>58</v>
      </c>
      <c r="AA6" s="5">
        <v>427</v>
      </c>
      <c r="AB6" s="5">
        <v>153</v>
      </c>
      <c r="AC6" s="5">
        <v>320.39</v>
      </c>
      <c r="AD6" s="5">
        <v>2.61</v>
      </c>
      <c r="AE6" s="5">
        <v>0.43</v>
      </c>
      <c r="AF6" s="5">
        <v>0</v>
      </c>
      <c r="AG6" s="5">
        <v>3</v>
      </c>
      <c r="AH6" s="5">
        <v>0.33800000000000002</v>
      </c>
      <c r="AI6" s="5">
        <v>0</v>
      </c>
      <c r="AJ6" s="5">
        <v>0</v>
      </c>
      <c r="AK6" s="5">
        <v>0</v>
      </c>
      <c r="AL6" s="5">
        <v>945.78</v>
      </c>
      <c r="AM6" s="5">
        <v>23.530000000000086</v>
      </c>
      <c r="AN6" s="5">
        <v>961</v>
      </c>
      <c r="AO6" s="5">
        <f t="shared" ref="AO6:AO69" si="41">MAX(AL6-SUM(Z6:AD6),0)</f>
        <v>0</v>
      </c>
      <c r="AP6" s="5">
        <f t="shared" ref="AP6:AP8" si="42">IF(AM6&gt;0,SUM(Z6:AD6)-AN6,0)</f>
        <v>0</v>
      </c>
      <c r="AQ6" s="5">
        <v>13.58</v>
      </c>
      <c r="AR6" s="5">
        <v>0.11</v>
      </c>
      <c r="AS6" s="5">
        <v>0</v>
      </c>
      <c r="AT6" s="5">
        <v>202720</v>
      </c>
      <c r="AU6" s="5">
        <v>0</v>
      </c>
      <c r="AV6" s="5">
        <v>8050</v>
      </c>
      <c r="AW6" s="5">
        <v>357.94</v>
      </c>
      <c r="AX6" s="5">
        <v>3</v>
      </c>
      <c r="AY6" s="199">
        <v>0</v>
      </c>
      <c r="AZ6" s="199">
        <v>0</v>
      </c>
      <c r="BA6" s="5">
        <v>577560.44999999995</v>
      </c>
      <c r="BB6" s="13">
        <v>2872853.64</v>
      </c>
      <c r="BC6" s="101">
        <f>MAX(ROUND(IF(F6&lt;4,IF(H6=0,(SUM(Y6:AD6)*Worksheet!$E$26+Y6*Worksheet!$E$27+AR6*Worksheet!$E$39)*-BaseRate,0)),2),MIN(0,-DI6))</f>
        <v>-1022155.42</v>
      </c>
      <c r="BD6" s="101">
        <f>MAX(ROUND(IF(F6=4,0,IF(I6=0,0,ROUND(SUM(Y6:AD6)*Worksheet!$E$28,2)*-BaseRate)),2),MIN(0,-DI6-BC6))</f>
        <v>-22684.35</v>
      </c>
      <c r="BE6" s="130">
        <f t="shared" si="23"/>
        <v>2522</v>
      </c>
      <c r="BF6" s="130">
        <f t="shared" si="24"/>
        <v>1408</v>
      </c>
      <c r="BG6" s="73"/>
      <c r="BH6" s="118">
        <f t="shared" si="25"/>
        <v>46753.57</v>
      </c>
      <c r="BI6" s="118">
        <f t="shared" si="26"/>
        <v>9646</v>
      </c>
      <c r="BJ6" s="232">
        <f>IFERROR(ROUND(IF(AND(BB6*1.12&lt;N6*60/1000,N6/CL6&lt;STVPP*0.2),(CL6*STVPP*0.2*Worksheet!$F$88/1000-BB6*1.12)*PropTaxAdj,IF(BB6*1.12&lt;N6*60/1000,(N6*60/1000-BB6*1.12)*PropTaxAdj,0)),2),0)</f>
        <v>0</v>
      </c>
      <c r="BK6" s="116">
        <f>ROUND(IF($F6=4,0,Y6*Worksheet!$E$16),2)</f>
        <v>12.36</v>
      </c>
      <c r="BL6" s="116">
        <f>ROUND(IF($F6=4,0,Z6*Worksheet!$E$17),2)</f>
        <v>58</v>
      </c>
      <c r="BM6" s="116">
        <f>ROUND(IF($F6=4,0,AA6*Worksheet!$E$18),2)</f>
        <v>427</v>
      </c>
      <c r="BN6" s="116">
        <f>ROUND(IF($F6=4,0,AB6*Worksheet!$E$19),2)</f>
        <v>153</v>
      </c>
      <c r="BO6" s="116">
        <f>ROUND(IF($F6=4,0,AC6*Worksheet!$E$20),2)</f>
        <v>320.39</v>
      </c>
      <c r="BP6" s="116">
        <f>ROUND(AD6*Worksheet!$E$21,2)</f>
        <v>2.61</v>
      </c>
      <c r="BQ6" s="116">
        <f t="shared" si="27"/>
        <v>973.36</v>
      </c>
      <c r="BR6" s="116">
        <f>ROUND(AD6*Worksheet!$E$25,2)</f>
        <v>0.65</v>
      </c>
      <c r="BS6" s="116">
        <f>ROUND(SUM(BQ6)*Worksheet!$E$26,2)</f>
        <v>85.66</v>
      </c>
      <c r="BT6" s="116">
        <f>ROUND(Y6*Worksheet!$E$27,2)</f>
        <v>2.1</v>
      </c>
      <c r="BU6" s="116">
        <f>ROUND(AO6*Worksheet!$E$29,2)</f>
        <v>0</v>
      </c>
      <c r="BV6" s="116">
        <f>ROUND(AP6*Worksheet!$E$30,2)</f>
        <v>0</v>
      </c>
      <c r="BW6" s="116">
        <f>ROUND(IF($I6&lt;&gt;0,$BQ6*Worksheet!$E$28,0),2)</f>
        <v>1.95</v>
      </c>
      <c r="BX6" s="116">
        <f>ROUND(AE6*Worksheet!$E$31,2)</f>
        <v>0.17</v>
      </c>
      <c r="BY6" s="116">
        <f>ROUND(AF6*Worksheet!$E$32,2)</f>
        <v>0</v>
      </c>
      <c r="BZ6" s="116">
        <f>ROUND(AG6*Worksheet!$E$33,2)</f>
        <v>0.21</v>
      </c>
      <c r="CA6" s="116">
        <f>ROUND(ROUND(AH6*BQ6,2)*Worksheet!$E$34,2)</f>
        <v>8.23</v>
      </c>
      <c r="CB6" s="116">
        <f>ROUND(AI6*Worksheet!$E$35,2)</f>
        <v>0</v>
      </c>
      <c r="CC6" s="116">
        <f>ROUND(AJ6*Worksheet!$E$36,2)</f>
        <v>0</v>
      </c>
      <c r="CD6" s="116">
        <f>ROUND(AQ6*Worksheet!$E$38,2)</f>
        <v>8.15</v>
      </c>
      <c r="CE6" s="116">
        <f>ROUND(AR6*Worksheet!$E$39,2)</f>
        <v>0.11</v>
      </c>
      <c r="CF6" s="131">
        <f>IF(AND(L6&gt;275,SUM(Y6:AD6)&lt;100),ROUND(SUM(Y6:AD6)*Worksheet!$E$41,2),0)</f>
        <v>0</v>
      </c>
      <c r="CG6" s="116">
        <f>IF(AND(L6&gt;600,SUM(Y6:AD6)&lt;50),ROUND((50-SUM(Y6:AD6))*(Worksheet!$E$41+1),2),0)</f>
        <v>0</v>
      </c>
      <c r="CH6" s="116">
        <f t="shared" si="28"/>
        <v>1080.5900000000001</v>
      </c>
      <c r="CI6" s="116">
        <f t="shared" ref="CI6:CI69" si="43">AK6</f>
        <v>0</v>
      </c>
      <c r="CJ6" s="116">
        <f t="shared" ref="CJ6:CJ69" si="44">CH6-CI6</f>
        <v>1080.5900000000001</v>
      </c>
      <c r="CK6" s="95">
        <f t="shared" si="29"/>
        <v>1</v>
      </c>
      <c r="CL6" s="116">
        <f t="shared" ref="CL6:CL69" si="45">ROUND(+CK6*CJ6,2)</f>
        <v>1080.5899999999999</v>
      </c>
      <c r="CM6" s="116">
        <f t="shared" ref="CM6:CM69" si="46">CL6+CI6</f>
        <v>1080.5899999999999</v>
      </c>
      <c r="CN6" s="116">
        <f t="shared" si="30"/>
        <v>12570503.470000001</v>
      </c>
      <c r="CO6" s="131">
        <f>ROUND(IF(F6=4,0,(MAX(ROUND(MAX((BI6*MIN(CL6,K6)*Worksheet!$D$126)+MAX(CL6-K6,0)*Worksheet!$F$50,SUM(J6)),2),SUM(CN6))-SUM(CN6))*MinAdj),2)</f>
        <v>0</v>
      </c>
      <c r="CP6" s="116">
        <f t="shared" si="31"/>
        <v>12570503.470000001</v>
      </c>
      <c r="CQ6" s="131">
        <f>IF(CL6=0,0,-MIN(CP6,MIN(CP6,ROUND(IF(ROUND(IF(CL6=0,0,N6/CL6),2)&lt;STVPP*0.2,STVPP*0.2*CL6*Worksheet!$F$88/1000,N6*Worksheet!$F$88/1000),2))))</f>
        <v>-3031286.46</v>
      </c>
      <c r="CR6" s="131">
        <f>-MIN(SUM(CP6,CQ6),IF($P6=0,(ROUND(Worksheet!$E$77*S6,2)+ROUND(Worksheet!$E$78*T6,2)+ROUND(Worksheet!$E$79*U6,2)+ROUND(Worksheet!$E$80*V6,2)+ROUND(Worksheet!$E$81*W6,2)+ROUND(Worksheet!$E$82*X6,2)),(ROUND(ROUND(S6*ROUND((1-$O6/$P6),4),2)*Worksheet!$E$77,2)+ROUND(ROUND(T6*ROUND((1-$O6/$P6),4),2)*Worksheet!$E$78,2)+ROUND(ROUND(U6*ROUND((1-$O6/$P6),4),2)*Worksheet!$E$79,2)+ROUND(ROUND(V6*ROUND((1-$O6/$P6),4),2)*Worksheet!$E$80,2)+ROUND(ROUND(W6*ROUND((1-$O6/$P6),4),2)*Worksheet!$E$81,2)+ROUND(ROUND(X6*ROUND((1-$O6/$P6),4),2)*Worksheet!$E$82,2))))</f>
        <v>-68983.819999999992</v>
      </c>
      <c r="CS6" s="116">
        <f t="shared" si="32"/>
        <v>9470233.1900000013</v>
      </c>
      <c r="CT6" s="116">
        <f>ROUND(MIN(BA6,ROUND((ROUND(AS6*Worksheet!$E$104,2)+ROUND(AV6*Worksheet!$E$107,2)+ROUND(AT6*Worksheet!$E$105,2)+ROUND(AW6*Worksheet!$E$108,2)+ROUND(AU6*Worksheet!$E$106,2)+ROUND(AX6*Worksheet!$E$109,2)+ROUND(AY6*Worksheet!$E$110,2)+ROUND(AZ6*Worksheet!$E$111,2))*Worksheet!$D$114,2))*BaseRate,2)</f>
        <v>332122.15000000002</v>
      </c>
      <c r="CU6" s="121">
        <v>0</v>
      </c>
      <c r="CV6" s="121">
        <v>0</v>
      </c>
      <c r="CW6" s="121">
        <v>0</v>
      </c>
      <c r="CX6" s="121">
        <v>0</v>
      </c>
      <c r="CY6" s="121">
        <v>0</v>
      </c>
      <c r="DA6" s="116">
        <f t="shared" si="33"/>
        <v>0</v>
      </c>
      <c r="DB6" s="116">
        <f>MAX(-CT6,MIN(0,ROUND($R6*EFBPercent+EFBAdd,2)-$Q6),MIN(0,SUM($CS6:CS6)+MIN(0,ROUND($R6*EFBPercent+EFBAdd,2)-$Q6)))</f>
        <v>0</v>
      </c>
      <c r="DC6" s="192">
        <f>IF(CU6&lt;0,0,MAX(-CU6,MIN(0,ROUND($R6*EFBPercent+EFBAdd,2)-$Q6),MIN(0,SUM($CS6:CT6)+MIN(0,ROUND($R6*EFBPercent+EFBAdd,2)-$Q6))))</f>
        <v>0</v>
      </c>
      <c r="DD6" s="192">
        <f>IF(CV6&lt;0,0,MAX(-CV6,MIN(0,ROUND($R6*EFBPercent+EFBAdd,2)-$Q6),MIN(0,SUM($CS6:CU6)+MIN(0,ROUND($R6*EFBPercent+EFBAdd,2)-$Q6))))</f>
        <v>0</v>
      </c>
      <c r="DE6" s="192">
        <f>IF(CW6&lt;0,0,MAX(-CW6,MIN(0,ROUND($R6*EFBPercent+EFBAdd,2)-$Q6),MIN(0,SUM($CS6:CV6)+MIN(0,ROUND($R6*EFBPercent+EFBAdd,2)-$Q6))))</f>
        <v>0</v>
      </c>
      <c r="DF6" s="192">
        <f>IF(CX6&lt;0,0,MAX(-CX6,MIN(0,ROUND($R6*EFBPercent+EFBAdd,2)-$Q6),MIN(0,SUM($CS6:CW6)+MIN(0,ROUND($R6*EFBPercent+EFBAdd,2)-$Q6))))</f>
        <v>0</v>
      </c>
      <c r="DG6" s="116">
        <f>MAX(-CY6,MIN(0,ROUND($R6*EFBPercent+EFBAdd,2)-$Q6),MIN(0,SUM($CS6:CX6)+MIN(0,ROUND($R6*EFBPercent+EFBAdd,2)-$Q6)))</f>
        <v>0</v>
      </c>
      <c r="DI6" s="73">
        <f t="shared" si="34"/>
        <v>9470233.1900000013</v>
      </c>
      <c r="DJ6" s="73">
        <f t="shared" si="35"/>
        <v>332122.15000000002</v>
      </c>
      <c r="DK6" s="73">
        <f t="shared" si="36"/>
        <v>0</v>
      </c>
      <c r="DL6" s="73">
        <f t="shared" si="37"/>
        <v>0</v>
      </c>
      <c r="DM6" s="73">
        <f t="shared" si="38"/>
        <v>0</v>
      </c>
      <c r="DN6" s="73">
        <f t="shared" si="39"/>
        <v>0</v>
      </c>
      <c r="DO6" s="73">
        <f t="shared" si="40"/>
        <v>0</v>
      </c>
      <c r="DP6" s="73"/>
      <c r="DQ6" s="73"/>
    </row>
    <row r="7" spans="1:121" ht="10.199999999999999" x14ac:dyDescent="0.2">
      <c r="A7" s="4" t="s">
        <v>499</v>
      </c>
      <c r="B7" s="72">
        <v>1006</v>
      </c>
      <c r="C7" s="13" t="s">
        <v>492</v>
      </c>
      <c r="D7" s="4">
        <v>2027</v>
      </c>
      <c r="E7" s="4" t="s">
        <v>25</v>
      </c>
      <c r="F7" s="4">
        <v>1</v>
      </c>
      <c r="G7" s="4" t="s">
        <v>658</v>
      </c>
      <c r="H7" s="4">
        <v>0</v>
      </c>
      <c r="I7" s="4" t="s">
        <v>853</v>
      </c>
      <c r="J7" s="5">
        <v>4523477.37</v>
      </c>
      <c r="K7" s="5">
        <v>328.19</v>
      </c>
      <c r="L7" s="5">
        <v>717.41</v>
      </c>
      <c r="M7" s="5">
        <v>0</v>
      </c>
      <c r="N7" s="5">
        <v>34677818</v>
      </c>
      <c r="O7" s="5">
        <v>0</v>
      </c>
      <c r="P7" s="5">
        <v>87</v>
      </c>
      <c r="Q7" s="5">
        <v>0</v>
      </c>
      <c r="R7" s="5">
        <v>0</v>
      </c>
      <c r="S7" s="5">
        <v>0</v>
      </c>
      <c r="T7" s="5">
        <v>394.08999999999992</v>
      </c>
      <c r="U7" s="5">
        <v>1258.06</v>
      </c>
      <c r="V7" s="5">
        <v>396085.41000000003</v>
      </c>
      <c r="W7" s="5">
        <v>103642.32</v>
      </c>
      <c r="X7" s="5">
        <v>31029.059999999998</v>
      </c>
      <c r="Y7" s="5">
        <v>0</v>
      </c>
      <c r="Z7" s="5">
        <v>17</v>
      </c>
      <c r="AA7" s="5">
        <v>105</v>
      </c>
      <c r="AB7" s="5">
        <v>28</v>
      </c>
      <c r="AC7" s="5">
        <v>67</v>
      </c>
      <c r="AD7" s="5">
        <v>0</v>
      </c>
      <c r="AE7" s="5">
        <v>0</v>
      </c>
      <c r="AF7" s="5">
        <v>0</v>
      </c>
      <c r="AG7" s="5">
        <v>0</v>
      </c>
      <c r="AH7" s="5">
        <v>0.34699999999999998</v>
      </c>
      <c r="AI7" s="5">
        <v>0.98</v>
      </c>
      <c r="AJ7" s="5">
        <v>0</v>
      </c>
      <c r="AK7" s="5">
        <v>0</v>
      </c>
      <c r="AL7" s="5">
        <v>213.13</v>
      </c>
      <c r="AM7" s="5">
        <v>3.4800000000000182</v>
      </c>
      <c r="AN7" s="5">
        <v>217</v>
      </c>
      <c r="AO7" s="5">
        <f t="shared" si="41"/>
        <v>0</v>
      </c>
      <c r="AP7" s="5">
        <f t="shared" si="42"/>
        <v>0</v>
      </c>
      <c r="AQ7" s="5">
        <v>0</v>
      </c>
      <c r="AR7" s="5">
        <v>0</v>
      </c>
      <c r="AS7" s="5">
        <v>0</v>
      </c>
      <c r="AT7" s="5">
        <v>173048</v>
      </c>
      <c r="AU7" s="5">
        <v>0</v>
      </c>
      <c r="AV7" s="5">
        <v>3824</v>
      </c>
      <c r="AW7" s="5">
        <v>717.41</v>
      </c>
      <c r="AX7" s="5">
        <v>1</v>
      </c>
      <c r="AY7" s="199">
        <v>0</v>
      </c>
      <c r="AZ7" s="199">
        <v>0</v>
      </c>
      <c r="BA7" s="5">
        <v>489963.21</v>
      </c>
      <c r="BB7" s="13">
        <v>2040196.26</v>
      </c>
      <c r="BC7" s="101">
        <f>MAX(ROUND(IF(F7&lt;4,IF(H7=0,(SUM(Y7:AD7)*Worksheet!$E$26+Y7*Worksheet!$E$27+AR7*Worksheet!$E$39)*-BaseRate,0)),2),MIN(0,-DI7))</f>
        <v>-222143.77</v>
      </c>
      <c r="BD7" s="101">
        <f>MAX(ROUND(IF(F7=4,0,IF(I7=0,0,ROUND(SUM(Y7:AD7)*Worksheet!$E$28,2)*-BaseRate)),2),MIN(0,-DI7-BC7))</f>
        <v>-5002.1899999999996</v>
      </c>
      <c r="BE7" s="130">
        <f t="shared" si="23"/>
        <v>2522</v>
      </c>
      <c r="BF7" s="130">
        <f t="shared" si="24"/>
        <v>1408</v>
      </c>
      <c r="BG7" s="73"/>
      <c r="BH7" s="118">
        <f t="shared" si="25"/>
        <v>115508.02</v>
      </c>
      <c r="BI7" s="118">
        <f t="shared" si="26"/>
        <v>13783.11</v>
      </c>
      <c r="BJ7" s="232">
        <f>IFERROR(ROUND(IF(AND(BB7*1.12&lt;N7*60/1000,N7/CL7&lt;STVPP*0.2),(CL7*STVPP*0.2*Worksheet!$F$88/1000-BB7*1.12)*PropTaxAdj,IF(BB7*1.12&lt;N7*60/1000,(N7*60/1000-BB7*1.12)*PropTaxAdj,0)),2),0)</f>
        <v>0</v>
      </c>
      <c r="BK7" s="116">
        <f>ROUND(IF($F7=4,0,Y7*Worksheet!$E$16),2)</f>
        <v>0</v>
      </c>
      <c r="BL7" s="116">
        <f>ROUND(IF($F7=4,0,Z7*Worksheet!$E$17),2)</f>
        <v>17</v>
      </c>
      <c r="BM7" s="116">
        <f>ROUND(IF($F7=4,0,AA7*Worksheet!$E$18),2)</f>
        <v>105</v>
      </c>
      <c r="BN7" s="116">
        <f>ROUND(IF($F7=4,0,AB7*Worksheet!$E$19),2)</f>
        <v>28</v>
      </c>
      <c r="BO7" s="116">
        <f>ROUND(IF($F7=4,0,AC7*Worksheet!$E$20),2)</f>
        <v>67</v>
      </c>
      <c r="BP7" s="116">
        <f>ROUND(AD7*Worksheet!$E$21,2)</f>
        <v>0</v>
      </c>
      <c r="BQ7" s="116">
        <f t="shared" si="27"/>
        <v>217</v>
      </c>
      <c r="BR7" s="116">
        <f>ROUND(AD7*Worksheet!$E$25,2)</f>
        <v>0</v>
      </c>
      <c r="BS7" s="116">
        <f>ROUND(SUM(BQ7)*Worksheet!$E$26,2)</f>
        <v>19.100000000000001</v>
      </c>
      <c r="BT7" s="116">
        <f>ROUND(Y7*Worksheet!$E$27,2)</f>
        <v>0</v>
      </c>
      <c r="BU7" s="116">
        <f>ROUND(AO7*Worksheet!$E$29,2)</f>
        <v>0</v>
      </c>
      <c r="BV7" s="116">
        <f>ROUND(AP7*Worksheet!$E$30,2)</f>
        <v>0</v>
      </c>
      <c r="BW7" s="116">
        <f>ROUND(IF($I7&lt;&gt;0,$BQ7*Worksheet!$E$28,0),2)</f>
        <v>0.43</v>
      </c>
      <c r="BX7" s="116">
        <f>ROUND(AE7*Worksheet!$E$31,2)</f>
        <v>0</v>
      </c>
      <c r="BY7" s="116">
        <f>ROUND(AF7*Worksheet!$E$32,2)</f>
        <v>0</v>
      </c>
      <c r="BZ7" s="116">
        <f>ROUND(AG7*Worksheet!$E$33,2)</f>
        <v>0</v>
      </c>
      <c r="CA7" s="116">
        <f>ROUND(ROUND(AH7*BQ7,2)*Worksheet!$E$34,2)</f>
        <v>1.88</v>
      </c>
      <c r="CB7" s="116">
        <f>ROUND(AI7*Worksheet!$E$35,2)</f>
        <v>0.2</v>
      </c>
      <c r="CC7" s="116">
        <f>ROUND(AJ7*Worksheet!$E$36,2)</f>
        <v>0</v>
      </c>
      <c r="CD7" s="116">
        <f>ROUND(AQ7*Worksheet!$E$38,2)</f>
        <v>0</v>
      </c>
      <c r="CE7" s="116">
        <f>ROUND(AR7*Worksheet!$E$39,2)</f>
        <v>0</v>
      </c>
      <c r="CF7" s="131">
        <f>IF(AND(L7&gt;275,SUM(Y7:AD7)&lt;100),ROUND(SUM(Y7:AD7)*Worksheet!$E$41,2),0)</f>
        <v>0</v>
      </c>
      <c r="CG7" s="116">
        <f>IF(AND(L7&gt;600,SUM(Y7:AD7)&lt;50),ROUND((50-SUM(Y7:AD7))*(Worksheet!$E$41+1),2),0)</f>
        <v>0</v>
      </c>
      <c r="CH7" s="116">
        <f t="shared" si="28"/>
        <v>238.60999999999999</v>
      </c>
      <c r="CI7" s="116">
        <f t="shared" si="43"/>
        <v>0</v>
      </c>
      <c r="CJ7" s="116">
        <f t="shared" si="44"/>
        <v>238.60999999999999</v>
      </c>
      <c r="CK7" s="95">
        <f t="shared" si="29"/>
        <v>1.2582</v>
      </c>
      <c r="CL7" s="116">
        <f t="shared" si="45"/>
        <v>300.22000000000003</v>
      </c>
      <c r="CM7" s="116">
        <f t="shared" si="46"/>
        <v>300.22000000000003</v>
      </c>
      <c r="CN7" s="116">
        <f t="shared" si="30"/>
        <v>3492459.26</v>
      </c>
      <c r="CO7" s="131">
        <f>ROUND(IF(F7=4,0,(MAX(ROUND(MAX((BI7*MIN(CL7,K7)*Worksheet!$D$126)+MAX(CL7-K7,0)*Worksheet!$F$50,SUM(J7)),2),SUM(CN7))-SUM(CN7))*MinAdj),2)</f>
        <v>154652.72</v>
      </c>
      <c r="CP7" s="116">
        <f t="shared" si="31"/>
        <v>3647111.98</v>
      </c>
      <c r="CQ7" s="131">
        <f>IF(CL7=0,0,-MIN(CP7,MIN(CP7,ROUND(IF(ROUND(IF(CL7=0,0,N7/CL7),2)&lt;STVPP*0.2,STVPP*0.2*CL7*Worksheet!$F$88/1000,N7*Worksheet!$F$88/1000),2))))</f>
        <v>-2080669.08</v>
      </c>
      <c r="CR7" s="131">
        <f>-MIN(SUM(CP7,CQ7),IF($P7=0,(ROUND(Worksheet!$E$77*S7,2)+ROUND(Worksheet!$E$78*T7,2)+ROUND(Worksheet!$E$79*U7,2)+ROUND(Worksheet!$E$80*V7,2)+ROUND(Worksheet!$E$81*W7,2)+ROUND(Worksheet!$E$82*X7,2)),(ROUND(ROUND(S7*ROUND((1-$O7/$P7),4),2)*Worksheet!$E$77,2)+ROUND(ROUND(T7*ROUND((1-$O7/$P7),4),2)*Worksheet!$E$78,2)+ROUND(ROUND(U7*ROUND((1-$O7/$P7),4),2)*Worksheet!$E$79,2)+ROUND(ROUND(V7*ROUND((1-$O7/$P7),4),2)*Worksheet!$E$80,2)+ROUND(ROUND(W7*ROUND((1-$O7/$P7),4),2)*Worksheet!$E$81,2)+ROUND(ROUND(X7*ROUND((1-$O7/$P7),4),2)*Worksheet!$E$82,2))))</f>
        <v>-399306.72</v>
      </c>
      <c r="CS7" s="116">
        <f t="shared" si="32"/>
        <v>1167136.18</v>
      </c>
      <c r="CT7" s="116">
        <f>ROUND(MIN(BA7,ROUND((ROUND(AS7*Worksheet!$E$104,2)+ROUND(AV7*Worksheet!$E$107,2)+ROUND(AT7*Worksheet!$E$105,2)+ROUND(AW7*Worksheet!$E$108,2)+ROUND(AU7*Worksheet!$E$106,2)+ROUND(AX7*Worksheet!$E$109,2)+ROUND(AY7*Worksheet!$E$110,2)+ROUND(AZ7*Worksheet!$E$111,2))*Worksheet!$D$114,2))*BaseRate,2)</f>
        <v>253250.41</v>
      </c>
      <c r="CU7" s="121">
        <v>0</v>
      </c>
      <c r="CV7" s="121">
        <v>0</v>
      </c>
      <c r="CW7" s="121">
        <v>0</v>
      </c>
      <c r="CX7" s="121">
        <v>0</v>
      </c>
      <c r="CY7" s="121">
        <v>0</v>
      </c>
      <c r="DA7" s="116">
        <f t="shared" si="33"/>
        <v>0</v>
      </c>
      <c r="DB7" s="116">
        <f>MAX(-CT7,MIN(0,ROUND($R7*EFBPercent+EFBAdd,2)-$Q7),MIN(0,SUM($CS7:CS7)+MIN(0,ROUND($R7*EFBPercent+EFBAdd,2)-$Q7)))</f>
        <v>0</v>
      </c>
      <c r="DC7" s="192">
        <f>IF(CU7&lt;0,0,MAX(-CU7,MIN(0,ROUND($R7*EFBPercent+EFBAdd,2)-$Q7),MIN(0,SUM($CS7:CT7)+MIN(0,ROUND($R7*EFBPercent+EFBAdd,2)-$Q7))))</f>
        <v>0</v>
      </c>
      <c r="DD7" s="192">
        <f>IF(CV7&lt;0,0,MAX(-CV7,MIN(0,ROUND($R7*EFBPercent+EFBAdd,2)-$Q7),MIN(0,SUM($CS7:CU7)+MIN(0,ROUND($R7*EFBPercent+EFBAdd,2)-$Q7))))</f>
        <v>0</v>
      </c>
      <c r="DE7" s="192">
        <f>IF(CW7&lt;0,0,MAX(-CW7,MIN(0,ROUND($R7*EFBPercent+EFBAdd,2)-$Q7),MIN(0,SUM($CS7:CV7)+MIN(0,ROUND($R7*EFBPercent+EFBAdd,2)-$Q7))))</f>
        <v>0</v>
      </c>
      <c r="DF7" s="192">
        <f>IF(CX7&lt;0,0,MAX(-CX7,MIN(0,ROUND($R7*EFBPercent+EFBAdd,2)-$Q7),MIN(0,SUM($CS7:CW7)+MIN(0,ROUND($R7*EFBPercent+EFBAdd,2)-$Q7))))</f>
        <v>0</v>
      </c>
      <c r="DG7" s="116">
        <f>MAX(-CY7,MIN(0,ROUND($R7*EFBPercent+EFBAdd,2)-$Q7),MIN(0,SUM($CS7:CX7)+MIN(0,ROUND($R7*EFBPercent+EFBAdd,2)-$Q7)))</f>
        <v>0</v>
      </c>
      <c r="DI7" s="73">
        <f t="shared" si="34"/>
        <v>1167136.18</v>
      </c>
      <c r="DJ7" s="73">
        <f t="shared" si="35"/>
        <v>253250.41</v>
      </c>
      <c r="DK7" s="73">
        <f t="shared" si="36"/>
        <v>0</v>
      </c>
      <c r="DL7" s="73">
        <f t="shared" si="37"/>
        <v>0</v>
      </c>
      <c r="DM7" s="73">
        <f t="shared" si="38"/>
        <v>0</v>
      </c>
      <c r="DN7" s="73">
        <f t="shared" si="39"/>
        <v>0</v>
      </c>
      <c r="DO7" s="73">
        <f t="shared" si="40"/>
        <v>0</v>
      </c>
      <c r="DP7" s="73"/>
      <c r="DQ7" s="73"/>
    </row>
    <row r="8" spans="1:121" ht="10.199999999999999" x14ac:dyDescent="0.2">
      <c r="A8" s="4" t="s">
        <v>500</v>
      </c>
      <c r="B8" s="72">
        <v>1085</v>
      </c>
      <c r="C8" s="13" t="s">
        <v>26</v>
      </c>
      <c r="D8" s="4">
        <v>2027</v>
      </c>
      <c r="E8" s="4" t="s">
        <v>344</v>
      </c>
      <c r="F8" s="4">
        <v>1</v>
      </c>
      <c r="G8" s="4" t="s">
        <v>840</v>
      </c>
      <c r="H8" s="4">
        <v>0</v>
      </c>
      <c r="I8" s="4" t="s">
        <v>853</v>
      </c>
      <c r="J8" s="5">
        <v>2269835.67</v>
      </c>
      <c r="K8" s="5">
        <v>166.62</v>
      </c>
      <c r="L8" s="5">
        <v>511.5</v>
      </c>
      <c r="M8" s="5">
        <v>0</v>
      </c>
      <c r="N8" s="5">
        <v>18524225</v>
      </c>
      <c r="O8" s="5">
        <v>50.18</v>
      </c>
      <c r="P8" s="5">
        <v>118.41</v>
      </c>
      <c r="Q8" s="5">
        <v>0</v>
      </c>
      <c r="R8" s="5">
        <v>0</v>
      </c>
      <c r="S8" s="5">
        <v>0</v>
      </c>
      <c r="T8" s="5">
        <v>35.46</v>
      </c>
      <c r="U8" s="5">
        <v>0</v>
      </c>
      <c r="V8" s="5">
        <v>18177.660000000003</v>
      </c>
      <c r="W8" s="5">
        <v>9333.42</v>
      </c>
      <c r="X8" s="5">
        <v>10089.09</v>
      </c>
      <c r="Y8" s="5">
        <v>0</v>
      </c>
      <c r="Z8" s="5">
        <v>8</v>
      </c>
      <c r="AA8" s="5">
        <v>69</v>
      </c>
      <c r="AB8" s="5">
        <v>28</v>
      </c>
      <c r="AC8" s="5">
        <v>32</v>
      </c>
      <c r="AD8" s="5">
        <v>0</v>
      </c>
      <c r="AE8" s="5">
        <v>0</v>
      </c>
      <c r="AF8" s="5">
        <v>0</v>
      </c>
      <c r="AG8" s="5">
        <v>0</v>
      </c>
      <c r="AH8" s="5">
        <v>0.42899999999999999</v>
      </c>
      <c r="AI8" s="5">
        <v>0</v>
      </c>
      <c r="AJ8" s="5">
        <v>0</v>
      </c>
      <c r="AK8" s="5">
        <v>0</v>
      </c>
      <c r="AL8" s="5">
        <v>135.09</v>
      </c>
      <c r="AM8" s="5">
        <v>0</v>
      </c>
      <c r="AN8" s="5">
        <v>137</v>
      </c>
      <c r="AO8" s="5">
        <f t="shared" si="41"/>
        <v>0</v>
      </c>
      <c r="AP8" s="5">
        <f t="shared" si="42"/>
        <v>0</v>
      </c>
      <c r="AQ8" s="5">
        <v>0</v>
      </c>
      <c r="AR8" s="5">
        <v>0</v>
      </c>
      <c r="AS8" s="5">
        <v>0</v>
      </c>
      <c r="AT8" s="5">
        <v>89262</v>
      </c>
      <c r="AU8" s="5">
        <v>0</v>
      </c>
      <c r="AV8" s="5">
        <v>1566</v>
      </c>
      <c r="AW8" s="5">
        <v>511.5</v>
      </c>
      <c r="AX8" s="5">
        <v>2</v>
      </c>
      <c r="AY8" s="199">
        <v>0</v>
      </c>
      <c r="AZ8" s="199">
        <v>0</v>
      </c>
      <c r="BA8" s="5">
        <v>289428.40000000002</v>
      </c>
      <c r="BB8" s="13">
        <v>1101268.56</v>
      </c>
      <c r="BC8" s="101">
        <f>MAX(ROUND(IF(F8&lt;4,IF(H8=0,(SUM(Y8:AD8)*Worksheet!$E$26+Y8*Worksheet!$E$27+AR8*Worksheet!$E$39)*-BaseRate,0)),2),MIN(0,-DI8))</f>
        <v>-140247.45000000001</v>
      </c>
      <c r="BD8" s="101">
        <f>MAX(ROUND(IF(F8=4,0,IF(I8=0,0,ROUND(SUM(Y8:AD8)*Worksheet!$E$28,2)*-BaseRate)),2),MIN(0,-DI8-BC8))</f>
        <v>-3140.91</v>
      </c>
      <c r="BE8" s="130">
        <f t="shared" si="23"/>
        <v>2512</v>
      </c>
      <c r="BF8" s="130">
        <f t="shared" si="24"/>
        <v>1408</v>
      </c>
      <c r="BG8" s="73"/>
      <c r="BH8" s="118">
        <f t="shared" si="25"/>
        <v>79918.14</v>
      </c>
      <c r="BI8" s="118">
        <f t="shared" si="26"/>
        <v>13622.83</v>
      </c>
      <c r="BJ8" s="232">
        <f>IFERROR(ROUND(IF(AND(BB8*1.12&lt;N8*60/1000,N8/CL8&lt;STVPP*0.2),(CL8*STVPP*0.2*Worksheet!$F$88/1000-BB8*1.12)*PropTaxAdj,IF(BB8*1.12&lt;N8*60/1000,(N8*60/1000-BB8*1.12)*PropTaxAdj,0)),2),0)</f>
        <v>0</v>
      </c>
      <c r="BK8" s="116">
        <f>ROUND(IF($F8=4,0,Y8*Worksheet!$E$16),2)</f>
        <v>0</v>
      </c>
      <c r="BL8" s="116">
        <f>ROUND(IF($F8=4,0,Z8*Worksheet!$E$17),2)</f>
        <v>8</v>
      </c>
      <c r="BM8" s="116">
        <f>ROUND(IF($F8=4,0,AA8*Worksheet!$E$18),2)</f>
        <v>69</v>
      </c>
      <c r="BN8" s="116">
        <f>ROUND(IF($F8=4,0,AB8*Worksheet!$E$19),2)</f>
        <v>28</v>
      </c>
      <c r="BO8" s="116">
        <f>ROUND(IF($F8=4,0,AC8*Worksheet!$E$20),2)</f>
        <v>32</v>
      </c>
      <c r="BP8" s="116">
        <f>ROUND(AD8*Worksheet!$E$21,2)</f>
        <v>0</v>
      </c>
      <c r="BQ8" s="116">
        <f t="shared" si="27"/>
        <v>137</v>
      </c>
      <c r="BR8" s="116">
        <f>ROUND(AD8*Worksheet!$E$25,2)</f>
        <v>0</v>
      </c>
      <c r="BS8" s="116">
        <f>ROUND(SUM(BQ8)*Worksheet!$E$26,2)</f>
        <v>12.06</v>
      </c>
      <c r="BT8" s="116">
        <f>ROUND(Y8*Worksheet!$E$27,2)</f>
        <v>0</v>
      </c>
      <c r="BU8" s="116">
        <f>ROUND(AO8*Worksheet!$E$29,2)</f>
        <v>0</v>
      </c>
      <c r="BV8" s="116">
        <f>ROUND(AP8*Worksheet!$E$30,2)</f>
        <v>0</v>
      </c>
      <c r="BW8" s="116">
        <f>ROUND(IF($I8&lt;&gt;0,$BQ8*Worksheet!$E$28,0),2)</f>
        <v>0.27</v>
      </c>
      <c r="BX8" s="116">
        <f>ROUND(AE8*Worksheet!$E$31,2)</f>
        <v>0</v>
      </c>
      <c r="BY8" s="116">
        <f>ROUND(AF8*Worksheet!$E$32,2)</f>
        <v>0</v>
      </c>
      <c r="BZ8" s="116">
        <f>ROUND(AG8*Worksheet!$E$33,2)</f>
        <v>0</v>
      </c>
      <c r="CA8" s="116">
        <f>ROUND(ROUND(AH8*BQ8,2)*Worksheet!$E$34,2)</f>
        <v>1.47</v>
      </c>
      <c r="CB8" s="116">
        <f>ROUND(AI8*Worksheet!$E$35,2)</f>
        <v>0</v>
      </c>
      <c r="CC8" s="116">
        <f>ROUND(AJ8*Worksheet!$E$36,2)</f>
        <v>0</v>
      </c>
      <c r="CD8" s="116">
        <f>ROUND(AQ8*Worksheet!$E$38,2)</f>
        <v>0</v>
      </c>
      <c r="CE8" s="116">
        <f>ROUND(AR8*Worksheet!$E$39,2)</f>
        <v>0</v>
      </c>
      <c r="CF8" s="131">
        <f>IF(AND(L8&gt;275,SUM(Y8:AD8)&lt;100),ROUND(SUM(Y8:AD8)*Worksheet!$E$41,2),0)</f>
        <v>0</v>
      </c>
      <c r="CG8" s="116">
        <f>IF(AND(L8&gt;600,SUM(Y8:AD8)&lt;50),ROUND((50-SUM(Y8:AD8))*(Worksheet!$E$41+1),2),0)</f>
        <v>0</v>
      </c>
      <c r="CH8" s="116">
        <f t="shared" si="28"/>
        <v>150.80000000000001</v>
      </c>
      <c r="CI8" s="116">
        <f t="shared" si="43"/>
        <v>0</v>
      </c>
      <c r="CJ8" s="116">
        <f t="shared" si="44"/>
        <v>150.80000000000001</v>
      </c>
      <c r="CK8" s="95">
        <f t="shared" si="29"/>
        <v>1.5370999999999999</v>
      </c>
      <c r="CL8" s="116">
        <f t="shared" si="45"/>
        <v>231.79</v>
      </c>
      <c r="CM8" s="116">
        <f t="shared" si="46"/>
        <v>231.79</v>
      </c>
      <c r="CN8" s="116">
        <f t="shared" si="30"/>
        <v>2696413.07</v>
      </c>
      <c r="CO8" s="131">
        <f>ROUND(IF(F8=4,0,(MAX(ROUND(MAX((BI8*MIN(CL8,K8)*Worksheet!$D$126)+MAX(CL8-K8,0)*Worksheet!$F$50,SUM(J8)),2),SUM(CN8))-SUM(CN8))*MinAdj),2)</f>
        <v>56541.33</v>
      </c>
      <c r="CP8" s="116">
        <f t="shared" si="31"/>
        <v>2752954.4</v>
      </c>
      <c r="CQ8" s="131">
        <f>IF(CL8=0,0,-MIN(CP8,MIN(CP8,ROUND(IF(ROUND(IF(CL8=0,0,N8/CL8),2)&lt;STVPP*0.2,STVPP*0.2*CL8*Worksheet!$F$88/1000,N8*Worksheet!$F$88/1000),2))))</f>
        <v>-1111453.5</v>
      </c>
      <c r="CR8" s="131">
        <f>-MIN(SUM(CP8,CQ8),IF($P8=0,(ROUND(Worksheet!$E$77*S8,2)+ROUND(Worksheet!$E$78*T8,2)+ROUND(Worksheet!$E$79*U8,2)+ROUND(Worksheet!$E$80*V8,2)+ROUND(Worksheet!$E$81*W8,2)+ROUND(Worksheet!$E$82*X8,2)),(ROUND(ROUND(S8*ROUND((1-$O8/$P8),4),2)*Worksheet!$E$77,2)+ROUND(ROUND(T8*ROUND((1-$O8/$P8),4),2)*Worksheet!$E$78,2)+ROUND(ROUND(U8*ROUND((1-$O8/$P8),4),2)*Worksheet!$E$79,2)+ROUND(ROUND(V8*ROUND((1-$O8/$P8),4),2)*Worksheet!$E$80,2)+ROUND(ROUND(W8*ROUND((1-$O8/$P8),4),2)*Worksheet!$E$81,2)+ROUND(ROUND(X8*ROUND((1-$O8/$P8),4),2)*Worksheet!$E$82,2))))</f>
        <v>-16264.24</v>
      </c>
      <c r="CS8" s="116">
        <f t="shared" si="32"/>
        <v>1625236.66</v>
      </c>
      <c r="CT8" s="116">
        <f>ROUND(MIN(BA8,ROUND((ROUND(AS8*Worksheet!$E$104,2)+ROUND(AV8*Worksheet!$E$107,2)+ROUND(AT8*Worksheet!$E$105,2)+ROUND(AW8*Worksheet!$E$108,2)+ROUND(AU8*Worksheet!$E$106,2)+ROUND(AX8*Worksheet!$E$109,2)+ROUND(AY8*Worksheet!$E$110,2)+ROUND(AZ8*Worksheet!$E$111,2))*Worksheet!$D$114,2))*BaseRate,2)</f>
        <v>131220.24</v>
      </c>
      <c r="CU8" s="121">
        <v>0</v>
      </c>
      <c r="CV8" s="121">
        <v>0</v>
      </c>
      <c r="CW8" s="121">
        <v>0</v>
      </c>
      <c r="CX8" s="121">
        <v>0</v>
      </c>
      <c r="CY8" s="121">
        <v>0</v>
      </c>
      <c r="DA8" s="116">
        <f t="shared" si="33"/>
        <v>0</v>
      </c>
      <c r="DB8" s="116">
        <f>MAX(-CT8,MIN(0,ROUND($R8*EFBPercent+EFBAdd,2)-$Q8),MIN(0,SUM($CS8:CS8)+MIN(0,ROUND($R8*EFBPercent+EFBAdd,2)-$Q8)))</f>
        <v>0</v>
      </c>
      <c r="DC8" s="192">
        <f>IF(CU8&lt;0,0,MAX(-CU8,MIN(0,ROUND($R8*EFBPercent+EFBAdd,2)-$Q8),MIN(0,SUM($CS8:CT8)+MIN(0,ROUND($R8*EFBPercent+EFBAdd,2)-$Q8))))</f>
        <v>0</v>
      </c>
      <c r="DD8" s="192">
        <f>IF(CV8&lt;0,0,MAX(-CV8,MIN(0,ROUND($R8*EFBPercent+EFBAdd,2)-$Q8),MIN(0,SUM($CS8:CU8)+MIN(0,ROUND($R8*EFBPercent+EFBAdd,2)-$Q8))))</f>
        <v>0</v>
      </c>
      <c r="DE8" s="192">
        <f>IF(CW8&lt;0,0,MAX(-CW8,MIN(0,ROUND($R8*EFBPercent+EFBAdd,2)-$Q8),MIN(0,SUM($CS8:CV8)+MIN(0,ROUND($R8*EFBPercent+EFBAdd,2)-$Q8))))</f>
        <v>0</v>
      </c>
      <c r="DF8" s="192">
        <f>IF(CX8&lt;0,0,MAX(-CX8,MIN(0,ROUND($R8*EFBPercent+EFBAdd,2)-$Q8),MIN(0,SUM($CS8:CW8)+MIN(0,ROUND($R8*EFBPercent+EFBAdd,2)-$Q8))))</f>
        <v>0</v>
      </c>
      <c r="DG8" s="116">
        <f>MAX(-CY8,MIN(0,ROUND($R8*EFBPercent+EFBAdd,2)-$Q8),MIN(0,SUM($CS8:CX8)+MIN(0,ROUND($R8*EFBPercent+EFBAdd,2)-$Q8)))</f>
        <v>0</v>
      </c>
      <c r="DI8" s="73">
        <f t="shared" si="34"/>
        <v>1625236.66</v>
      </c>
      <c r="DJ8" s="73">
        <f t="shared" si="35"/>
        <v>131220.24</v>
      </c>
      <c r="DK8" s="73">
        <f t="shared" si="36"/>
        <v>0</v>
      </c>
      <c r="DL8" s="73">
        <f t="shared" si="37"/>
        <v>0</v>
      </c>
      <c r="DM8" s="73">
        <f t="shared" si="38"/>
        <v>0</v>
      </c>
      <c r="DN8" s="73">
        <f t="shared" si="39"/>
        <v>0</v>
      </c>
      <c r="DO8" s="73">
        <f t="shared" si="40"/>
        <v>0</v>
      </c>
      <c r="DP8" s="73"/>
      <c r="DQ8" s="73"/>
    </row>
    <row r="9" spans="1:121" ht="10.199999999999999" x14ac:dyDescent="0.2">
      <c r="A9" s="4" t="s">
        <v>658</v>
      </c>
      <c r="B9" s="72">
        <v>2522</v>
      </c>
      <c r="C9" s="13" t="s">
        <v>178</v>
      </c>
      <c r="D9" s="4">
        <v>2027</v>
      </c>
      <c r="E9" s="4" t="s">
        <v>1026</v>
      </c>
      <c r="F9" s="4">
        <v>7</v>
      </c>
      <c r="G9" s="4" t="s">
        <v>658</v>
      </c>
      <c r="H9" s="4">
        <v>100</v>
      </c>
      <c r="I9" s="4">
        <v>0</v>
      </c>
      <c r="J9" s="5">
        <v>0</v>
      </c>
      <c r="K9" s="5">
        <v>0</v>
      </c>
      <c r="L9" s="5">
        <v>0</v>
      </c>
      <c r="M9" s="5">
        <v>0</v>
      </c>
      <c r="N9" s="5">
        <v>0</v>
      </c>
      <c r="O9" s="5">
        <v>0</v>
      </c>
      <c r="P9" s="5">
        <v>0</v>
      </c>
      <c r="Q9" s="5">
        <v>0</v>
      </c>
      <c r="R9" s="5">
        <v>0</v>
      </c>
      <c r="S9" s="5">
        <v>0</v>
      </c>
      <c r="T9" s="5">
        <v>0</v>
      </c>
      <c r="U9" s="5">
        <v>0</v>
      </c>
      <c r="V9" s="5">
        <v>0</v>
      </c>
      <c r="W9" s="5">
        <v>0</v>
      </c>
      <c r="X9" s="5">
        <v>0</v>
      </c>
      <c r="Y9" s="5">
        <v>0</v>
      </c>
      <c r="Z9" s="5">
        <v>0</v>
      </c>
      <c r="AA9" s="5">
        <v>0</v>
      </c>
      <c r="AB9" s="5">
        <v>0</v>
      </c>
      <c r="AC9" s="5">
        <v>0</v>
      </c>
      <c r="AD9" s="5">
        <v>0</v>
      </c>
      <c r="AE9" s="5">
        <v>0</v>
      </c>
      <c r="AF9" s="5">
        <v>0</v>
      </c>
      <c r="AG9" s="5">
        <v>0</v>
      </c>
      <c r="AH9" s="5">
        <v>0</v>
      </c>
      <c r="AI9" s="5">
        <v>0</v>
      </c>
      <c r="AJ9" s="5">
        <v>0</v>
      </c>
      <c r="AK9" s="5">
        <v>0</v>
      </c>
      <c r="AL9" s="5">
        <v>0</v>
      </c>
      <c r="AM9" s="5">
        <v>0</v>
      </c>
      <c r="AN9" s="5">
        <v>0</v>
      </c>
      <c r="AO9" s="5">
        <f t="shared" si="41"/>
        <v>0</v>
      </c>
      <c r="AP9" s="5">
        <v>0</v>
      </c>
      <c r="AQ9" s="5">
        <v>0</v>
      </c>
      <c r="AR9" s="5">
        <v>0</v>
      </c>
      <c r="AS9" s="5">
        <v>0</v>
      </c>
      <c r="AT9" s="5">
        <v>0</v>
      </c>
      <c r="AU9" s="5">
        <v>0</v>
      </c>
      <c r="AV9" s="5">
        <v>0</v>
      </c>
      <c r="AW9" s="5">
        <v>0</v>
      </c>
      <c r="AX9" s="5">
        <v>0</v>
      </c>
      <c r="AY9" s="199">
        <v>0</v>
      </c>
      <c r="AZ9" s="199">
        <v>0</v>
      </c>
      <c r="BA9" s="5">
        <v>24642.69</v>
      </c>
      <c r="BB9" s="13">
        <v>0</v>
      </c>
      <c r="BC9" s="101">
        <f>MAX(ROUND(IF(F9&lt;4,IF(H9=0,(SUM(Y9:AD9)*Worksheet!$E$26+Y9*Worksheet!$E$27+AR9*Worksheet!$E$39)*-BaseRate,0)),2),MIN(0,-DI9))</f>
        <v>0</v>
      </c>
      <c r="BD9" s="101">
        <f>MAX(ROUND(IF(F9=4,0,IF(I9=0,0,ROUND(SUM(Y9:AD9)*Worksheet!$E$28,2)*-BaseRate)),2),MIN(0,-DI9-BC9))</f>
        <v>0</v>
      </c>
      <c r="BE9" s="130">
        <f t="shared" si="23"/>
        <v>0</v>
      </c>
      <c r="BF9" s="130">
        <f t="shared" si="24"/>
        <v>0</v>
      </c>
      <c r="BG9" s="73"/>
      <c r="BH9" s="118">
        <f t="shared" si="25"/>
        <v>0</v>
      </c>
      <c r="BI9" s="118">
        <f t="shared" si="26"/>
        <v>0</v>
      </c>
      <c r="BJ9" s="232">
        <f>IFERROR(ROUND(IF(AND(BB9*1.12&lt;N9*60/1000,N9/CL9&lt;STVPP*0.2),(CL9*STVPP*0.2*Worksheet!$F$88/1000-BB9*1.12)*PropTaxAdj,IF(BB9*1.12&lt;N9*60/1000,(N9*60/1000-BB9*1.12)*PropTaxAdj,0)),2),0)</f>
        <v>0</v>
      </c>
      <c r="BK9" s="116">
        <f>ROUND(IF($F9=4,0,Y9*Worksheet!$E$16),2)</f>
        <v>0</v>
      </c>
      <c r="BL9" s="116">
        <f>ROUND(IF($F9=4,0,Z9*Worksheet!$E$17),2)</f>
        <v>0</v>
      </c>
      <c r="BM9" s="116">
        <f>ROUND(IF($F9=4,0,AA9*Worksheet!$E$18),2)</f>
        <v>0</v>
      </c>
      <c r="BN9" s="116">
        <f>ROUND(IF($F9=4,0,AB9*Worksheet!$E$19),2)</f>
        <v>0</v>
      </c>
      <c r="BO9" s="116">
        <f>ROUND(IF($F9=4,0,AC9*Worksheet!$E$20),2)</f>
        <v>0</v>
      </c>
      <c r="BP9" s="116">
        <f>ROUND(AD9*Worksheet!$E$21,2)</f>
        <v>0</v>
      </c>
      <c r="BQ9" s="116">
        <f t="shared" si="27"/>
        <v>0</v>
      </c>
      <c r="BR9" s="116">
        <f>ROUND(AD9*Worksheet!$E$25,2)</f>
        <v>0</v>
      </c>
      <c r="BS9" s="116">
        <f>ROUND(SUM(BQ9)*Worksheet!$E$26,2)</f>
        <v>0</v>
      </c>
      <c r="BT9" s="116">
        <f>ROUND(Y9*Worksheet!$E$27,2)</f>
        <v>0</v>
      </c>
      <c r="BU9" s="116">
        <f>ROUND(AO9*Worksheet!$E$29,2)</f>
        <v>0</v>
      </c>
      <c r="BV9" s="116">
        <f>ROUND(AP9*Worksheet!$E$30,2)</f>
        <v>0</v>
      </c>
      <c r="BW9" s="116">
        <f>ROUND(IF($I9&lt;&gt;0,$BQ9*Worksheet!$E$28,0),2)</f>
        <v>0</v>
      </c>
      <c r="BX9" s="116">
        <f>ROUND(AE9*Worksheet!$E$31,2)</f>
        <v>0</v>
      </c>
      <c r="BY9" s="116">
        <f>ROUND(AF9*Worksheet!$E$32,2)</f>
        <v>0</v>
      </c>
      <c r="BZ9" s="116">
        <f>ROUND(AG9*Worksheet!$E$33,2)</f>
        <v>0</v>
      </c>
      <c r="CA9" s="116">
        <f>ROUND(ROUND(AH9*BQ9,2)*Worksheet!$E$34,2)</f>
        <v>0</v>
      </c>
      <c r="CB9" s="116">
        <f>ROUND(AI9*Worksheet!$E$35,2)</f>
        <v>0</v>
      </c>
      <c r="CC9" s="116">
        <f>ROUND(AJ9*Worksheet!$E$36,2)</f>
        <v>0</v>
      </c>
      <c r="CD9" s="116">
        <f>ROUND(AQ9*Worksheet!$E$38,2)</f>
        <v>0</v>
      </c>
      <c r="CE9" s="116">
        <f>ROUND(AR9*Worksheet!$E$39,2)</f>
        <v>0</v>
      </c>
      <c r="CF9" s="131">
        <f>IF(AND(L9&gt;275,SUM(Y9:AD9)&lt;100),ROUND(SUM(Y9:AD9)*Worksheet!$E$41,2),0)</f>
        <v>0</v>
      </c>
      <c r="CG9" s="116">
        <f>IF(AND(L9&gt;600,SUM(Y9:AD9)&lt;50),ROUND((50-SUM(Y9:AD9))*(Worksheet!$E$41+1),2),0)</f>
        <v>0</v>
      </c>
      <c r="CH9" s="116">
        <f t="shared" si="28"/>
        <v>0</v>
      </c>
      <c r="CI9" s="116">
        <f t="shared" si="43"/>
        <v>0</v>
      </c>
      <c r="CJ9" s="116">
        <f t="shared" si="44"/>
        <v>0</v>
      </c>
      <c r="CK9" s="95">
        <f t="shared" si="29"/>
        <v>0</v>
      </c>
      <c r="CL9" s="116">
        <f t="shared" si="45"/>
        <v>0</v>
      </c>
      <c r="CM9" s="116">
        <f t="shared" si="46"/>
        <v>0</v>
      </c>
      <c r="CN9" s="116">
        <f t="shared" si="30"/>
        <v>0</v>
      </c>
      <c r="CO9" s="131">
        <f>ROUND(IF(F9=4,0,(MAX(ROUND(MAX((BI9*MIN(CL9,K9)*Worksheet!$D$126)+MAX(CL9-K9,0)*Worksheet!$F$50,SUM(J9)),2),SUM(CN9))-SUM(CN9))*MinAdj),2)</f>
        <v>0</v>
      </c>
      <c r="CP9" s="116">
        <f t="shared" si="31"/>
        <v>0</v>
      </c>
      <c r="CQ9" s="131">
        <f>IF(CL9=0,0,-MIN(CP9,MIN(CP9,ROUND(IF(ROUND(IF(CL9=0,0,N9/CL9),2)&lt;STVPP*0.2,STVPP*0.2*CL9*Worksheet!$F$88/1000,N9*Worksheet!$F$88/1000),2))))</f>
        <v>0</v>
      </c>
      <c r="CR9" s="131">
        <f>-MIN(SUM(CP9,CQ9),IF($P9=0,(ROUND(Worksheet!$E$77*S9,2)+ROUND(Worksheet!$E$78*T9,2)+ROUND(Worksheet!$E$79*U9,2)+ROUND(Worksheet!$E$80*V9,2)+ROUND(Worksheet!$E$81*W9,2)+ROUND(Worksheet!$E$82*X9,2)),(ROUND(ROUND(S9*ROUND((1-$O9/$P9),4),2)*Worksheet!$E$77,2)+ROUND(ROUND(T9*ROUND((1-$O9/$P9),4),2)*Worksheet!$E$78,2)+ROUND(ROUND(U9*ROUND((1-$O9/$P9),4),2)*Worksheet!$E$79,2)+ROUND(ROUND(V9*ROUND((1-$O9/$P9),4),2)*Worksheet!$E$80,2)+ROUND(ROUND(W9*ROUND((1-$O9/$P9),4),2)*Worksheet!$E$81,2)+ROUND(ROUND(X9*ROUND((1-$O9/$P9),4),2)*Worksheet!$E$82,2))))</f>
        <v>0</v>
      </c>
      <c r="CS9" s="116">
        <f t="shared" si="32"/>
        <v>0</v>
      </c>
      <c r="CT9" s="116">
        <f>ROUND(MIN(BA9,ROUND((ROUND(AS9*Worksheet!$E$104,2)+ROUND(AV9*Worksheet!$E$107,2)+ROUND(AT9*Worksheet!$E$105,2)+ROUND(AW9*Worksheet!$E$108,2)+ROUND(AU9*Worksheet!$E$106,2)+ROUND(AX9*Worksheet!$E$109,2)+ROUND(AY9*Worksheet!$E$110,2)+ROUND(AZ9*Worksheet!$E$111,2))*Worksheet!$D$114,2))*BaseRate,2)</f>
        <v>0</v>
      </c>
      <c r="CU9" s="121">
        <v>0</v>
      </c>
      <c r="CV9" s="121">
        <v>0</v>
      </c>
      <c r="CW9" s="121">
        <v>22332.720000000001</v>
      </c>
      <c r="CX9" s="121">
        <v>0</v>
      </c>
      <c r="CY9" s="121">
        <v>0</v>
      </c>
      <c r="DA9" s="116">
        <f t="shared" si="33"/>
        <v>0</v>
      </c>
      <c r="DB9" s="116">
        <f>MAX(-CT9,MIN(0,ROUND($R9*EFBPercent+EFBAdd,2)-$Q9),MIN(0,SUM($CS9:CS9)+MIN(0,ROUND($R9*EFBPercent+EFBAdd,2)-$Q9)))</f>
        <v>0</v>
      </c>
      <c r="DC9" s="192">
        <f>IF(CU9&lt;0,0,MAX(-CU9,MIN(0,ROUND($R9*EFBPercent+EFBAdd,2)-$Q9),MIN(0,SUM($CS9:CT9)+MIN(0,ROUND($R9*EFBPercent+EFBAdd,2)-$Q9))))</f>
        <v>0</v>
      </c>
      <c r="DD9" s="192">
        <f>IF(CV9&lt;0,0,MAX(-CV9,MIN(0,ROUND($R9*EFBPercent+EFBAdd,2)-$Q9),MIN(0,SUM($CS9:CU9)+MIN(0,ROUND($R9*EFBPercent+EFBAdd,2)-$Q9))))</f>
        <v>0</v>
      </c>
      <c r="DE9" s="192">
        <f>IF(CW9&lt;0,0,MAX(-CW9,MIN(0,ROUND($R9*EFBPercent+EFBAdd,2)-$Q9),MIN(0,SUM($CS9:CV9)+MIN(0,ROUND($R9*EFBPercent+EFBAdd,2)-$Q9))))</f>
        <v>0</v>
      </c>
      <c r="DF9" s="192">
        <f>IF(CX9&lt;0,0,MAX(-CX9,MIN(0,ROUND($R9*EFBPercent+EFBAdd,2)-$Q9),MIN(0,SUM($CS9:CW9)+MIN(0,ROUND($R9*EFBPercent+EFBAdd,2)-$Q9))))</f>
        <v>0</v>
      </c>
      <c r="DG9" s="116">
        <f>MAX(-CY9,MIN(0,ROUND($R9*EFBPercent+EFBAdd,2)-$Q9),MIN(0,SUM($CS9:CX9)+MIN(0,ROUND($R9*EFBPercent+EFBAdd,2)-$Q9)))</f>
        <v>0</v>
      </c>
      <c r="DI9" s="73">
        <f t="shared" si="34"/>
        <v>0</v>
      </c>
      <c r="DJ9" s="73">
        <f t="shared" si="35"/>
        <v>0</v>
      </c>
      <c r="DK9" s="73">
        <f t="shared" si="36"/>
        <v>0</v>
      </c>
      <c r="DL9" s="73">
        <f t="shared" si="37"/>
        <v>0</v>
      </c>
      <c r="DM9" s="73">
        <f t="shared" si="38"/>
        <v>22332.720000000001</v>
      </c>
      <c r="DN9" s="73">
        <f t="shared" si="39"/>
        <v>0</v>
      </c>
      <c r="DO9" s="73">
        <f t="shared" si="40"/>
        <v>0</v>
      </c>
      <c r="DP9" s="73"/>
      <c r="DQ9" s="73"/>
    </row>
    <row r="10" spans="1:121" ht="10.199999999999999" x14ac:dyDescent="0.2">
      <c r="A10" s="4" t="s">
        <v>501</v>
      </c>
      <c r="B10" s="72">
        <v>1105</v>
      </c>
      <c r="C10" s="13" t="s">
        <v>27</v>
      </c>
      <c r="D10" s="4">
        <v>2027</v>
      </c>
      <c r="E10" s="4" t="s">
        <v>345</v>
      </c>
      <c r="F10" s="4">
        <v>1</v>
      </c>
      <c r="G10" s="4" t="s">
        <v>675</v>
      </c>
      <c r="H10" s="4">
        <v>0</v>
      </c>
      <c r="I10" s="4" t="s">
        <v>849</v>
      </c>
      <c r="J10" s="5">
        <v>2927254.0600000005</v>
      </c>
      <c r="K10" s="5">
        <v>331.43</v>
      </c>
      <c r="L10" s="5">
        <v>230</v>
      </c>
      <c r="M10" s="5">
        <v>0</v>
      </c>
      <c r="N10" s="5">
        <v>4252465</v>
      </c>
      <c r="O10" s="5">
        <v>0</v>
      </c>
      <c r="P10" s="5">
        <v>51.08</v>
      </c>
      <c r="Q10" s="5">
        <v>0</v>
      </c>
      <c r="R10" s="5">
        <v>0</v>
      </c>
      <c r="S10" s="5">
        <v>0</v>
      </c>
      <c r="T10" s="5">
        <v>0</v>
      </c>
      <c r="U10" s="5">
        <v>0</v>
      </c>
      <c r="V10" s="5">
        <v>6345.2</v>
      </c>
      <c r="W10" s="5">
        <v>304.67</v>
      </c>
      <c r="X10" s="5">
        <v>9002.0299999999988</v>
      </c>
      <c r="Y10" s="5">
        <v>5</v>
      </c>
      <c r="Z10" s="5">
        <v>20</v>
      </c>
      <c r="AA10" s="5">
        <v>112</v>
      </c>
      <c r="AB10" s="5">
        <v>36</v>
      </c>
      <c r="AC10" s="5">
        <v>70</v>
      </c>
      <c r="AD10" s="5">
        <v>0</v>
      </c>
      <c r="AE10" s="5">
        <v>0</v>
      </c>
      <c r="AF10" s="5">
        <v>0</v>
      </c>
      <c r="AG10" s="5">
        <v>0</v>
      </c>
      <c r="AH10" s="5">
        <v>0.98699999999999999</v>
      </c>
      <c r="AI10" s="5">
        <v>0</v>
      </c>
      <c r="AJ10" s="5">
        <v>0</v>
      </c>
      <c r="AK10" s="5">
        <v>0</v>
      </c>
      <c r="AL10" s="5">
        <v>233.33</v>
      </c>
      <c r="AM10" s="5">
        <v>0</v>
      </c>
      <c r="AN10" s="5">
        <v>238</v>
      </c>
      <c r="AO10" s="5">
        <f t="shared" si="41"/>
        <v>0</v>
      </c>
      <c r="AP10" s="5">
        <f t="shared" ref="AP10:AP15" si="47">IF(AM10&gt;0,SUM(Z10:AD10)-AN10,0)</f>
        <v>0</v>
      </c>
      <c r="AQ10" s="5">
        <v>0</v>
      </c>
      <c r="AR10" s="5">
        <v>0</v>
      </c>
      <c r="AS10" s="5">
        <v>0</v>
      </c>
      <c r="AT10" s="5">
        <v>30859</v>
      </c>
      <c r="AU10" s="5">
        <v>0</v>
      </c>
      <c r="AV10" s="5">
        <v>2600</v>
      </c>
      <c r="AW10" s="5">
        <v>230</v>
      </c>
      <c r="AX10" s="5">
        <v>1</v>
      </c>
      <c r="AY10" s="199">
        <v>0</v>
      </c>
      <c r="AZ10" s="199">
        <v>0</v>
      </c>
      <c r="BA10" s="5">
        <v>548870.81000000006</v>
      </c>
      <c r="BB10" s="13">
        <v>254268.9</v>
      </c>
      <c r="BC10" s="101">
        <f>MAX(ROUND(IF(F10&lt;4,IF(H10=0,(SUM(Y10:AD10)*Worksheet!$E$26+Y10*Worksheet!$E$27+AR10*Worksheet!$E$39)*-BaseRate,0)),2),MIN(0,-DI10))</f>
        <v>-258648.12</v>
      </c>
      <c r="BD10" s="101">
        <f>MAX(ROUND(IF(F10=4,0,IF(I10=0,0,ROUND(SUM(Y10:AD10)*Worksheet!$E$28,2)*-BaseRate)),2),MIN(0,-DI10-BC10))</f>
        <v>-5700.17</v>
      </c>
      <c r="BE10" s="130">
        <f t="shared" si="23"/>
        <v>2514</v>
      </c>
      <c r="BF10" s="130">
        <f t="shared" si="24"/>
        <v>1405</v>
      </c>
      <c r="BG10" s="73"/>
      <c r="BH10" s="118">
        <f t="shared" si="25"/>
        <v>12827.95</v>
      </c>
      <c r="BI10" s="118">
        <f t="shared" si="26"/>
        <v>8832.19</v>
      </c>
      <c r="BJ10" s="232">
        <f>IFERROR(ROUND(IF(AND(BB10*1.12&lt;N10*60/1000,N10/CL10&lt;STVPP*0.2),(CL10*STVPP*0.2*Worksheet!$F$88/1000-BB10*1.12)*PropTaxAdj,IF(BB10*1.12&lt;N10*60/1000,(N10*60/1000-BB10*1.12)*PropTaxAdj,0)),2),0)</f>
        <v>0</v>
      </c>
      <c r="BK10" s="116">
        <f>ROUND(IF($F10=4,0,Y10*Worksheet!$E$16),2)</f>
        <v>5</v>
      </c>
      <c r="BL10" s="116">
        <f>ROUND(IF($F10=4,0,Z10*Worksheet!$E$17),2)</f>
        <v>20</v>
      </c>
      <c r="BM10" s="116">
        <f>ROUND(IF($F10=4,0,AA10*Worksheet!$E$18),2)</f>
        <v>112</v>
      </c>
      <c r="BN10" s="116">
        <f>ROUND(IF($F10=4,0,AB10*Worksheet!$E$19),2)</f>
        <v>36</v>
      </c>
      <c r="BO10" s="116">
        <f>ROUND(IF($F10=4,0,AC10*Worksheet!$E$20),2)</f>
        <v>70</v>
      </c>
      <c r="BP10" s="116">
        <f>ROUND(AD10*Worksheet!$E$21,2)</f>
        <v>0</v>
      </c>
      <c r="BQ10" s="116">
        <f t="shared" si="27"/>
        <v>243</v>
      </c>
      <c r="BR10" s="116">
        <f>ROUND(AD10*Worksheet!$E$25,2)</f>
        <v>0</v>
      </c>
      <c r="BS10" s="116">
        <f>ROUND(SUM(BQ10)*Worksheet!$E$26,2)</f>
        <v>21.38</v>
      </c>
      <c r="BT10" s="116">
        <f>ROUND(Y10*Worksheet!$E$27,2)</f>
        <v>0.85</v>
      </c>
      <c r="BU10" s="116">
        <f>ROUND(AO10*Worksheet!$E$29,2)</f>
        <v>0</v>
      </c>
      <c r="BV10" s="116">
        <f>ROUND(AP10*Worksheet!$E$30,2)</f>
        <v>0</v>
      </c>
      <c r="BW10" s="116">
        <f>ROUND(IF($I10&lt;&gt;0,$BQ10*Worksheet!$E$28,0),2)</f>
        <v>0.49</v>
      </c>
      <c r="BX10" s="116">
        <f>ROUND(AE10*Worksheet!$E$31,2)</f>
        <v>0</v>
      </c>
      <c r="BY10" s="116">
        <f>ROUND(AF10*Worksheet!$E$32,2)</f>
        <v>0</v>
      </c>
      <c r="BZ10" s="116">
        <f>ROUND(AG10*Worksheet!$E$33,2)</f>
        <v>0</v>
      </c>
      <c r="CA10" s="116">
        <f>ROUND(ROUND(AH10*BQ10,2)*Worksheet!$E$34,2)</f>
        <v>6</v>
      </c>
      <c r="CB10" s="116">
        <f>ROUND(AI10*Worksheet!$E$35,2)</f>
        <v>0</v>
      </c>
      <c r="CC10" s="116">
        <f>ROUND(AJ10*Worksheet!$E$36,2)</f>
        <v>0</v>
      </c>
      <c r="CD10" s="116">
        <f>ROUND(AQ10*Worksheet!$E$38,2)</f>
        <v>0</v>
      </c>
      <c r="CE10" s="116">
        <f>ROUND(AR10*Worksheet!$E$39,2)</f>
        <v>0</v>
      </c>
      <c r="CF10" s="131">
        <f>IF(AND(L10&gt;275,SUM(Y10:AD10)&lt;100),ROUND(SUM(Y10:AD10)*Worksheet!$E$41,2),0)</f>
        <v>0</v>
      </c>
      <c r="CG10" s="116">
        <f>IF(AND(L10&gt;600,SUM(Y10:AD10)&lt;50),ROUND((50-SUM(Y10:AD10))*(Worksheet!$E$41+1),2),0)</f>
        <v>0</v>
      </c>
      <c r="CH10" s="116">
        <f t="shared" si="28"/>
        <v>271.72000000000003</v>
      </c>
      <c r="CI10" s="116">
        <f t="shared" si="43"/>
        <v>0</v>
      </c>
      <c r="CJ10" s="116">
        <f t="shared" si="44"/>
        <v>271.72000000000003</v>
      </c>
      <c r="CK10" s="95">
        <f t="shared" si="29"/>
        <v>1.22</v>
      </c>
      <c r="CL10" s="116">
        <f t="shared" si="45"/>
        <v>331.5</v>
      </c>
      <c r="CM10" s="116">
        <f t="shared" si="46"/>
        <v>331.5</v>
      </c>
      <c r="CN10" s="116">
        <f t="shared" si="30"/>
        <v>3856339.5</v>
      </c>
      <c r="CO10" s="131">
        <f>ROUND(IF(F10=4,0,(MAX(ROUND(MAX((BI10*MIN(CL10,K10)*Worksheet!$D$126)+MAX(CL10-K10,0)*Worksheet!$F$50,SUM(J10)),2),SUM(CN10))-SUM(CN10))*MinAdj),2)</f>
        <v>0</v>
      </c>
      <c r="CP10" s="116">
        <f t="shared" si="31"/>
        <v>3856339.5</v>
      </c>
      <c r="CQ10" s="131">
        <f>IF(CL10=0,0,-MIN(CP10,MIN(CP10,ROUND(IF(ROUND(IF(CL10=0,0,N10/CL10),2)&lt;STVPP*0.2,STVPP*0.2*CL10*Worksheet!$F$88/1000,N10*Worksheet!$F$88/1000),2))))</f>
        <v>-255147.9</v>
      </c>
      <c r="CR10" s="131">
        <f>-MIN(SUM(CP10,CQ10),IF($P10=0,(ROUND(Worksheet!$E$77*S10,2)+ROUND(Worksheet!$E$78*T10,2)+ROUND(Worksheet!$E$79*U10,2)+ROUND(Worksheet!$E$80*V10,2)+ROUND(Worksheet!$E$81*W10,2)+ROUND(Worksheet!$E$82*X10,2)),(ROUND(ROUND(S10*ROUND((1-$O10/$P10),4),2)*Worksheet!$E$77,2)+ROUND(ROUND(T10*ROUND((1-$O10/$P10),4),2)*Worksheet!$E$78,2)+ROUND(ROUND(U10*ROUND((1-$O10/$P10),4),2)*Worksheet!$E$79,2)+ROUND(ROUND(V10*ROUND((1-$O10/$P10),4),2)*Worksheet!$E$80,2)+ROUND(ROUND(W10*ROUND((1-$O10/$P10),4),2)*Worksheet!$E$81,2)+ROUND(ROUND(X10*ROUND((1-$O10/$P10),4),2)*Worksheet!$E$82,2))))</f>
        <v>-11738.92</v>
      </c>
      <c r="CS10" s="116">
        <f t="shared" si="32"/>
        <v>3589452.68</v>
      </c>
      <c r="CT10" s="116">
        <f>ROUND(MIN(BA10,ROUND((ROUND(AS10*Worksheet!$E$104,2)+ROUND(AV10*Worksheet!$E$107,2)+ROUND(AT10*Worksheet!$E$105,2)+ROUND(AW10*Worksheet!$E$108,2)+ROUND(AU10*Worksheet!$E$106,2)+ROUND(AX10*Worksheet!$E$109,2)+ROUND(AY10*Worksheet!$E$110,2)+ROUND(AZ10*Worksheet!$E$111,2))*Worksheet!$D$114,2))*BaseRate,2)</f>
        <v>68518.37</v>
      </c>
      <c r="CU10" s="121">
        <v>0</v>
      </c>
      <c r="CV10" s="121">
        <v>0</v>
      </c>
      <c r="CW10" s="121">
        <v>0</v>
      </c>
      <c r="CX10" s="121">
        <v>0</v>
      </c>
      <c r="CY10" s="121">
        <v>0</v>
      </c>
      <c r="DA10" s="116">
        <f t="shared" si="33"/>
        <v>0</v>
      </c>
      <c r="DB10" s="116">
        <f>MAX(-CT10,MIN(0,ROUND($R10*EFBPercent+EFBAdd,2)-$Q10),MIN(0,SUM($CS10:CS10)+MIN(0,ROUND($R10*EFBPercent+EFBAdd,2)-$Q10)))</f>
        <v>0</v>
      </c>
      <c r="DC10" s="192">
        <f>IF(CU10&lt;0,0,MAX(-CU10,MIN(0,ROUND($R10*EFBPercent+EFBAdd,2)-$Q10),MIN(0,SUM($CS10:CT10)+MIN(0,ROUND($R10*EFBPercent+EFBAdd,2)-$Q10))))</f>
        <v>0</v>
      </c>
      <c r="DD10" s="192">
        <f>IF(CV10&lt;0,0,MAX(-CV10,MIN(0,ROUND($R10*EFBPercent+EFBAdd,2)-$Q10),MIN(0,SUM($CS10:CU10)+MIN(0,ROUND($R10*EFBPercent+EFBAdd,2)-$Q10))))</f>
        <v>0</v>
      </c>
      <c r="DE10" s="192">
        <f>IF(CW10&lt;0,0,MAX(-CW10,MIN(0,ROUND($R10*EFBPercent+EFBAdd,2)-$Q10),MIN(0,SUM($CS10:CV10)+MIN(0,ROUND($R10*EFBPercent+EFBAdd,2)-$Q10))))</f>
        <v>0</v>
      </c>
      <c r="DF10" s="192">
        <f>IF(CX10&lt;0,0,MAX(-CX10,MIN(0,ROUND($R10*EFBPercent+EFBAdd,2)-$Q10),MIN(0,SUM($CS10:CW10)+MIN(0,ROUND($R10*EFBPercent+EFBAdd,2)-$Q10))))</f>
        <v>0</v>
      </c>
      <c r="DG10" s="116">
        <f>MAX(-CY10,MIN(0,ROUND($R10*EFBPercent+EFBAdd,2)-$Q10),MIN(0,SUM($CS10:CX10)+MIN(0,ROUND($R10*EFBPercent+EFBAdd,2)-$Q10)))</f>
        <v>0</v>
      </c>
      <c r="DI10" s="73">
        <f t="shared" si="34"/>
        <v>3589452.68</v>
      </c>
      <c r="DJ10" s="73">
        <f t="shared" si="35"/>
        <v>68518.37</v>
      </c>
      <c r="DK10" s="73">
        <f t="shared" si="36"/>
        <v>0</v>
      </c>
      <c r="DL10" s="73">
        <f t="shared" si="37"/>
        <v>0</v>
      </c>
      <c r="DM10" s="73">
        <f t="shared" si="38"/>
        <v>0</v>
      </c>
      <c r="DN10" s="73">
        <f t="shared" si="39"/>
        <v>0</v>
      </c>
      <c r="DO10" s="73">
        <f t="shared" si="40"/>
        <v>0</v>
      </c>
      <c r="DP10" s="73"/>
      <c r="DQ10" s="73"/>
    </row>
    <row r="11" spans="1:121" ht="10.199999999999999" x14ac:dyDescent="0.2">
      <c r="A11" s="4" t="s">
        <v>502</v>
      </c>
      <c r="B11" s="72">
        <v>1080</v>
      </c>
      <c r="C11" s="13" t="s">
        <v>28</v>
      </c>
      <c r="D11" s="4">
        <v>2027</v>
      </c>
      <c r="E11" s="4" t="s">
        <v>346</v>
      </c>
      <c r="F11" s="4">
        <v>1</v>
      </c>
      <c r="G11" s="4" t="s">
        <v>675</v>
      </c>
      <c r="H11" s="4">
        <v>0</v>
      </c>
      <c r="I11" s="4" t="s">
        <v>849</v>
      </c>
      <c r="J11" s="5">
        <v>1992184.07</v>
      </c>
      <c r="K11" s="5">
        <v>195.23</v>
      </c>
      <c r="L11" s="5">
        <v>396.75</v>
      </c>
      <c r="M11" s="5">
        <v>0</v>
      </c>
      <c r="N11" s="5">
        <v>13271458</v>
      </c>
      <c r="O11" s="5">
        <v>8.4600000000000009</v>
      </c>
      <c r="P11" s="5">
        <v>91.52000000000001</v>
      </c>
      <c r="Q11" s="5">
        <v>0</v>
      </c>
      <c r="R11" s="5">
        <v>0</v>
      </c>
      <c r="S11" s="5">
        <v>0</v>
      </c>
      <c r="T11" s="5">
        <v>0</v>
      </c>
      <c r="U11" s="5">
        <v>0</v>
      </c>
      <c r="V11" s="5">
        <v>6948.9</v>
      </c>
      <c r="W11" s="5">
        <v>1828.8</v>
      </c>
      <c r="X11" s="5">
        <v>17372.52</v>
      </c>
      <c r="Y11" s="5">
        <v>2.02</v>
      </c>
      <c r="Z11" s="5">
        <v>11</v>
      </c>
      <c r="AA11" s="5">
        <v>71</v>
      </c>
      <c r="AB11" s="5">
        <v>17</v>
      </c>
      <c r="AC11" s="5">
        <v>30</v>
      </c>
      <c r="AD11" s="5">
        <v>0</v>
      </c>
      <c r="AE11" s="5">
        <v>0</v>
      </c>
      <c r="AF11" s="5">
        <v>0</v>
      </c>
      <c r="AG11" s="5">
        <v>0</v>
      </c>
      <c r="AH11" s="5">
        <v>0.317</v>
      </c>
      <c r="AI11" s="5">
        <v>0</v>
      </c>
      <c r="AJ11" s="5">
        <v>0</v>
      </c>
      <c r="AK11" s="5">
        <v>0</v>
      </c>
      <c r="AL11" s="5">
        <v>126.42</v>
      </c>
      <c r="AM11" s="5">
        <v>4.8599999999999994</v>
      </c>
      <c r="AN11" s="5">
        <v>129</v>
      </c>
      <c r="AO11" s="5">
        <f t="shared" si="41"/>
        <v>0</v>
      </c>
      <c r="AP11" s="5">
        <f t="shared" si="47"/>
        <v>0</v>
      </c>
      <c r="AQ11" s="5">
        <v>0</v>
      </c>
      <c r="AR11" s="5">
        <v>0</v>
      </c>
      <c r="AS11" s="5">
        <v>0</v>
      </c>
      <c r="AT11" s="5">
        <v>43750</v>
      </c>
      <c r="AU11" s="5">
        <v>0</v>
      </c>
      <c r="AV11" s="5">
        <v>1400</v>
      </c>
      <c r="AW11" s="5">
        <v>396.75</v>
      </c>
      <c r="AX11" s="5">
        <v>1</v>
      </c>
      <c r="AY11" s="199">
        <v>0</v>
      </c>
      <c r="AZ11" s="199">
        <v>0</v>
      </c>
      <c r="BA11" s="5">
        <v>83106.05</v>
      </c>
      <c r="BB11" s="13">
        <v>794649.3</v>
      </c>
      <c r="BC11" s="101">
        <f>MAX(ROUND(IF(F11&lt;4,IF(H11=0,(SUM(Y11:AD11)*Worksheet!$E$26+Y11*Worksheet!$E$27+AR11*Worksheet!$E$39)*-BaseRate,0)),2),MIN(0,-DI11))</f>
        <v>-138120.47</v>
      </c>
      <c r="BD11" s="101">
        <f>MAX(ROUND(IF(F11=4,0,IF(I11=0,0,ROUND(SUM(Y11:AD11)*Worksheet!$E$28,2)*-BaseRate)),2),MIN(0,-DI11-BC11))</f>
        <v>-3024.58</v>
      </c>
      <c r="BE11" s="130">
        <f t="shared" si="23"/>
        <v>2514</v>
      </c>
      <c r="BF11" s="130">
        <f t="shared" si="24"/>
        <v>1405</v>
      </c>
      <c r="BG11" s="73"/>
      <c r="BH11" s="118">
        <f t="shared" si="25"/>
        <v>57981.82</v>
      </c>
      <c r="BI11" s="118">
        <f t="shared" si="26"/>
        <v>10204.290000000001</v>
      </c>
      <c r="BJ11" s="232">
        <f>IFERROR(ROUND(IF(AND(BB11*1.12&lt;N11*60/1000,N11/CL11&lt;STVPP*0.2),(CL11*STVPP*0.2*Worksheet!$F$88/1000-BB11*1.12)*PropTaxAdj,IF(BB11*1.12&lt;N11*60/1000,(N11*60/1000-BB11*1.12)*PropTaxAdj,0)),2),0)</f>
        <v>0</v>
      </c>
      <c r="BK11" s="116">
        <f>ROUND(IF($F11=4,0,Y11*Worksheet!$E$16),2)</f>
        <v>2.02</v>
      </c>
      <c r="BL11" s="116">
        <f>ROUND(IF($F11=4,0,Z11*Worksheet!$E$17),2)</f>
        <v>11</v>
      </c>
      <c r="BM11" s="116">
        <f>ROUND(IF($F11=4,0,AA11*Worksheet!$E$18),2)</f>
        <v>71</v>
      </c>
      <c r="BN11" s="116">
        <f>ROUND(IF($F11=4,0,AB11*Worksheet!$E$19),2)</f>
        <v>17</v>
      </c>
      <c r="BO11" s="116">
        <f>ROUND(IF($F11=4,0,AC11*Worksheet!$E$20),2)</f>
        <v>30</v>
      </c>
      <c r="BP11" s="116">
        <f>ROUND(AD11*Worksheet!$E$21,2)</f>
        <v>0</v>
      </c>
      <c r="BQ11" s="116">
        <f t="shared" si="27"/>
        <v>131.01999999999998</v>
      </c>
      <c r="BR11" s="116">
        <f>ROUND(AD11*Worksheet!$E$25,2)</f>
        <v>0</v>
      </c>
      <c r="BS11" s="116">
        <f>ROUND(SUM(BQ11)*Worksheet!$E$26,2)</f>
        <v>11.53</v>
      </c>
      <c r="BT11" s="116">
        <f>ROUND(Y11*Worksheet!$E$27,2)</f>
        <v>0.34</v>
      </c>
      <c r="BU11" s="116">
        <f>ROUND(AO11*Worksheet!$E$29,2)</f>
        <v>0</v>
      </c>
      <c r="BV11" s="116">
        <f>ROUND(AP11*Worksheet!$E$30,2)</f>
        <v>0</v>
      </c>
      <c r="BW11" s="116">
        <f>ROUND(IF($I11&lt;&gt;0,$BQ11*Worksheet!$E$28,0),2)</f>
        <v>0.26</v>
      </c>
      <c r="BX11" s="116">
        <f>ROUND(AE11*Worksheet!$E$31,2)</f>
        <v>0</v>
      </c>
      <c r="BY11" s="116">
        <f>ROUND(AF11*Worksheet!$E$32,2)</f>
        <v>0</v>
      </c>
      <c r="BZ11" s="116">
        <f>ROUND(AG11*Worksheet!$E$33,2)</f>
        <v>0</v>
      </c>
      <c r="CA11" s="116">
        <f>ROUND(ROUND(AH11*BQ11,2)*Worksheet!$E$34,2)</f>
        <v>1.04</v>
      </c>
      <c r="CB11" s="116">
        <f>ROUND(AI11*Worksheet!$E$35,2)</f>
        <v>0</v>
      </c>
      <c r="CC11" s="116">
        <f>ROUND(AJ11*Worksheet!$E$36,2)</f>
        <v>0</v>
      </c>
      <c r="CD11" s="116">
        <f>ROUND(AQ11*Worksheet!$E$38,2)</f>
        <v>0</v>
      </c>
      <c r="CE11" s="116">
        <f>ROUND(AR11*Worksheet!$E$39,2)</f>
        <v>0</v>
      </c>
      <c r="CF11" s="131">
        <f>IF(AND(L11&gt;275,SUM(Y11:AD11)&lt;100),ROUND(SUM(Y11:AD11)*Worksheet!$E$41,2),0)</f>
        <v>0</v>
      </c>
      <c r="CG11" s="116">
        <f>IF(AND(L11&gt;600,SUM(Y11:AD11)&lt;50),ROUND((50-SUM(Y11:AD11))*(Worksheet!$E$41+1),2),0)</f>
        <v>0</v>
      </c>
      <c r="CH11" s="116">
        <f t="shared" si="28"/>
        <v>144.18999999999997</v>
      </c>
      <c r="CI11" s="116">
        <f t="shared" si="43"/>
        <v>0</v>
      </c>
      <c r="CJ11" s="116">
        <f t="shared" si="44"/>
        <v>144.18999999999997</v>
      </c>
      <c r="CK11" s="95">
        <f t="shared" si="29"/>
        <v>1.5873999999999999</v>
      </c>
      <c r="CL11" s="116">
        <f t="shared" si="45"/>
        <v>228.89</v>
      </c>
      <c r="CM11" s="116">
        <f t="shared" si="46"/>
        <v>228.89</v>
      </c>
      <c r="CN11" s="116">
        <f t="shared" si="30"/>
        <v>2662677.37</v>
      </c>
      <c r="CO11" s="131">
        <f>ROUND(IF(F11=4,0,(MAX(ROUND(MAX((BI11*MIN(CL11,K11)*Worksheet!$D$126)+MAX(CL11-K11,0)*Worksheet!$F$50,SUM(J11)),2),SUM(CN11))-SUM(CN11))*MinAdj),2)</f>
        <v>0</v>
      </c>
      <c r="CP11" s="116">
        <f t="shared" si="31"/>
        <v>2662677.37</v>
      </c>
      <c r="CQ11" s="131">
        <f>IF(CL11=0,0,-MIN(CP11,MIN(CP11,ROUND(IF(ROUND(IF(CL11=0,0,N11/CL11),2)&lt;STVPP*0.2,STVPP*0.2*CL11*Worksheet!$F$88/1000,N11*Worksheet!$F$88/1000),2))))</f>
        <v>-796287.48</v>
      </c>
      <c r="CR11" s="131">
        <f>-MIN(SUM(CP11,CQ11),IF($P11=0,(ROUND(Worksheet!$E$77*S11,2)+ROUND(Worksheet!$E$78*T11,2)+ROUND(Worksheet!$E$79*U11,2)+ROUND(Worksheet!$E$80*V11,2)+ROUND(Worksheet!$E$81*W11,2)+ROUND(Worksheet!$E$82*X11,2)),(ROUND(ROUND(S11*ROUND((1-$O11/$P11),4),2)*Worksheet!$E$77,2)+ROUND(ROUND(T11*ROUND((1-$O11/$P11),4),2)*Worksheet!$E$78,2)+ROUND(ROUND(U11*ROUND((1-$O11/$P11),4),2)*Worksheet!$E$79,2)+ROUND(ROUND(V11*ROUND((1-$O11/$P11),4),2)*Worksheet!$E$80,2)+ROUND(ROUND(W11*ROUND((1-$O11/$P11),4),2)*Worksheet!$E$81,2)+ROUND(ROUND(X11*ROUND((1-$O11/$P11),4),2)*Worksheet!$E$82,2))))</f>
        <v>-17800.47</v>
      </c>
      <c r="CS11" s="116">
        <f t="shared" si="32"/>
        <v>1848589.4200000002</v>
      </c>
      <c r="CT11" s="116">
        <f>ROUND(MIN(BA11,ROUND((ROUND(AS11*Worksheet!$E$104,2)+ROUND(AV11*Worksheet!$E$107,2)+ROUND(AT11*Worksheet!$E$105,2)+ROUND(AW11*Worksheet!$E$108,2)+ROUND(AU11*Worksheet!$E$106,2)+ROUND(AX11*Worksheet!$E$109,2)+ROUND(AY11*Worksheet!$E$110,2)+ROUND(AZ11*Worksheet!$E$111,2))*Worksheet!$D$114,2))*BaseRate,2)</f>
        <v>72938.91</v>
      </c>
      <c r="CU11" s="121">
        <v>0</v>
      </c>
      <c r="CV11" s="121">
        <v>0</v>
      </c>
      <c r="CW11" s="121">
        <v>0</v>
      </c>
      <c r="CX11" s="121">
        <v>0</v>
      </c>
      <c r="CY11" s="121">
        <v>0</v>
      </c>
      <c r="DA11" s="116">
        <f t="shared" si="33"/>
        <v>0</v>
      </c>
      <c r="DB11" s="116">
        <f>MAX(-CT11,MIN(0,ROUND($R11*EFBPercent+EFBAdd,2)-$Q11),MIN(0,SUM($CS11:CS11)+MIN(0,ROUND($R11*EFBPercent+EFBAdd,2)-$Q11)))</f>
        <v>0</v>
      </c>
      <c r="DC11" s="192">
        <f>IF(CU11&lt;0,0,MAX(-CU11,MIN(0,ROUND($R11*EFBPercent+EFBAdd,2)-$Q11),MIN(0,SUM($CS11:CT11)+MIN(0,ROUND($R11*EFBPercent+EFBAdd,2)-$Q11))))</f>
        <v>0</v>
      </c>
      <c r="DD11" s="192">
        <f>IF(CV11&lt;0,0,MAX(-CV11,MIN(0,ROUND($R11*EFBPercent+EFBAdd,2)-$Q11),MIN(0,SUM($CS11:CU11)+MIN(0,ROUND($R11*EFBPercent+EFBAdd,2)-$Q11))))</f>
        <v>0</v>
      </c>
      <c r="DE11" s="192">
        <f>IF(CW11&lt;0,0,MAX(-CW11,MIN(0,ROUND($R11*EFBPercent+EFBAdd,2)-$Q11),MIN(0,SUM($CS11:CV11)+MIN(0,ROUND($R11*EFBPercent+EFBAdd,2)-$Q11))))</f>
        <v>0</v>
      </c>
      <c r="DF11" s="192">
        <f>IF(CX11&lt;0,0,MAX(-CX11,MIN(0,ROUND($R11*EFBPercent+EFBAdd,2)-$Q11),MIN(0,SUM($CS11:CW11)+MIN(0,ROUND($R11*EFBPercent+EFBAdd,2)-$Q11))))</f>
        <v>0</v>
      </c>
      <c r="DG11" s="116">
        <f>MAX(-CY11,MIN(0,ROUND($R11*EFBPercent+EFBAdd,2)-$Q11),MIN(0,SUM($CS11:CX11)+MIN(0,ROUND($R11*EFBPercent+EFBAdd,2)-$Q11)))</f>
        <v>0</v>
      </c>
      <c r="DI11" s="73">
        <f t="shared" si="34"/>
        <v>1848589.4200000002</v>
      </c>
      <c r="DJ11" s="73">
        <f t="shared" si="35"/>
        <v>72938.91</v>
      </c>
      <c r="DK11" s="73">
        <f t="shared" si="36"/>
        <v>0</v>
      </c>
      <c r="DL11" s="73">
        <f t="shared" si="37"/>
        <v>0</v>
      </c>
      <c r="DM11" s="73">
        <f t="shared" si="38"/>
        <v>0</v>
      </c>
      <c r="DN11" s="73">
        <f t="shared" si="39"/>
        <v>0</v>
      </c>
      <c r="DO11" s="73">
        <f t="shared" si="40"/>
        <v>0</v>
      </c>
      <c r="DP11" s="73"/>
      <c r="DQ11" s="73"/>
    </row>
    <row r="12" spans="1:121" ht="10.199999999999999" x14ac:dyDescent="0.2">
      <c r="A12" s="4" t="s">
        <v>503</v>
      </c>
      <c r="B12" s="72">
        <v>1088</v>
      </c>
      <c r="C12" s="13" t="s">
        <v>29</v>
      </c>
      <c r="D12" s="4">
        <v>2027</v>
      </c>
      <c r="E12" s="4" t="s">
        <v>347</v>
      </c>
      <c r="F12" s="4">
        <v>1</v>
      </c>
      <c r="G12" s="4" t="s">
        <v>675</v>
      </c>
      <c r="H12" s="4">
        <v>0</v>
      </c>
      <c r="I12" s="4" t="s">
        <v>849</v>
      </c>
      <c r="J12" s="5">
        <v>1867882.04</v>
      </c>
      <c r="K12" s="5">
        <v>183.83</v>
      </c>
      <c r="L12" s="5">
        <v>396.67</v>
      </c>
      <c r="M12" s="5">
        <v>0</v>
      </c>
      <c r="N12" s="5">
        <v>11442773</v>
      </c>
      <c r="O12" s="5">
        <v>0</v>
      </c>
      <c r="P12" s="5">
        <v>102.9</v>
      </c>
      <c r="Q12" s="5">
        <v>0</v>
      </c>
      <c r="R12" s="5">
        <v>0</v>
      </c>
      <c r="S12" s="5">
        <v>12243</v>
      </c>
      <c r="T12" s="5">
        <v>0</v>
      </c>
      <c r="U12" s="5">
        <v>0</v>
      </c>
      <c r="V12" s="5">
        <v>9215.659999999998</v>
      </c>
      <c r="W12" s="5">
        <v>1075.43</v>
      </c>
      <c r="X12" s="5">
        <v>18159.41</v>
      </c>
      <c r="Y12" s="5">
        <v>1.1299999999999999</v>
      </c>
      <c r="Z12" s="5">
        <v>9</v>
      </c>
      <c r="AA12" s="5">
        <v>57</v>
      </c>
      <c r="AB12" s="5">
        <v>21</v>
      </c>
      <c r="AC12" s="5">
        <v>36</v>
      </c>
      <c r="AD12" s="5">
        <v>0</v>
      </c>
      <c r="AE12" s="5">
        <v>0</v>
      </c>
      <c r="AF12" s="5">
        <v>0</v>
      </c>
      <c r="AG12" s="5">
        <v>0</v>
      </c>
      <c r="AH12" s="5">
        <v>0.36399999999999999</v>
      </c>
      <c r="AI12" s="5">
        <v>0</v>
      </c>
      <c r="AJ12" s="5">
        <v>0</v>
      </c>
      <c r="AK12" s="5">
        <v>0</v>
      </c>
      <c r="AL12" s="5">
        <v>120.84</v>
      </c>
      <c r="AM12" s="5">
        <v>0.82000000000000739</v>
      </c>
      <c r="AN12" s="5">
        <v>123</v>
      </c>
      <c r="AO12" s="5">
        <f t="shared" si="41"/>
        <v>0</v>
      </c>
      <c r="AP12" s="5">
        <f t="shared" si="47"/>
        <v>0</v>
      </c>
      <c r="AQ12" s="5">
        <v>2.85</v>
      </c>
      <c r="AR12" s="5">
        <v>0</v>
      </c>
      <c r="AS12" s="5">
        <v>33908</v>
      </c>
      <c r="AT12" s="5">
        <v>64010</v>
      </c>
      <c r="AU12" s="5">
        <v>346</v>
      </c>
      <c r="AV12" s="5">
        <v>2422</v>
      </c>
      <c r="AW12" s="5">
        <v>396.67</v>
      </c>
      <c r="AX12" s="5">
        <v>1</v>
      </c>
      <c r="AY12" s="199">
        <v>0</v>
      </c>
      <c r="AZ12" s="199">
        <v>0</v>
      </c>
      <c r="BA12" s="5">
        <v>231887.48</v>
      </c>
      <c r="BB12" s="13">
        <v>683477.34</v>
      </c>
      <c r="BC12" s="101">
        <f>MAX(ROUND(IF(F12&lt;4,IF(H12=0,(SUM(Y12:AD12)*Worksheet!$E$26+Y12*Worksheet!$E$27+AR12*Worksheet!$E$39)*-BaseRate,0)),2),MIN(0,-DI12))</f>
        <v>-129307.08</v>
      </c>
      <c r="BD12" s="101">
        <f>MAX(ROUND(IF(F12=4,0,IF(I12=0,0,ROUND(SUM(Y12:AD12)*Worksheet!$E$28,2)*-BaseRate)),2),MIN(0,-DI12-BC12))</f>
        <v>-2908.25</v>
      </c>
      <c r="BE12" s="130">
        <f t="shared" si="23"/>
        <v>2514</v>
      </c>
      <c r="BF12" s="130">
        <f t="shared" si="24"/>
        <v>1405</v>
      </c>
      <c r="BG12" s="73"/>
      <c r="BH12" s="118">
        <f t="shared" si="25"/>
        <v>50748.51</v>
      </c>
      <c r="BI12" s="118">
        <f t="shared" si="26"/>
        <v>10160.92</v>
      </c>
      <c r="BJ12" s="232">
        <f>IFERROR(ROUND(IF(AND(BB12*1.12&lt;N12*60/1000,N12/CL12&lt;STVPP*0.2),(CL12*STVPP*0.2*Worksheet!$F$88/1000-BB12*1.12)*PropTaxAdj,IF(BB12*1.12&lt;N12*60/1000,(N12*60/1000-BB12*1.12)*PropTaxAdj,0)),2),0)</f>
        <v>0</v>
      </c>
      <c r="BK12" s="116">
        <f>ROUND(IF($F12=4,0,Y12*Worksheet!$E$16),2)</f>
        <v>1.1299999999999999</v>
      </c>
      <c r="BL12" s="116">
        <f>ROUND(IF($F12=4,0,Z12*Worksheet!$E$17),2)</f>
        <v>9</v>
      </c>
      <c r="BM12" s="116">
        <f>ROUND(IF($F12=4,0,AA12*Worksheet!$E$18),2)</f>
        <v>57</v>
      </c>
      <c r="BN12" s="116">
        <f>ROUND(IF($F12=4,0,AB12*Worksheet!$E$19),2)</f>
        <v>21</v>
      </c>
      <c r="BO12" s="116">
        <f>ROUND(IF($F12=4,0,AC12*Worksheet!$E$20),2)</f>
        <v>36</v>
      </c>
      <c r="BP12" s="116">
        <f>ROUND(AD12*Worksheet!$E$21,2)</f>
        <v>0</v>
      </c>
      <c r="BQ12" s="116">
        <f t="shared" si="27"/>
        <v>124.13</v>
      </c>
      <c r="BR12" s="116">
        <f>ROUND(AD12*Worksheet!$E$25,2)</f>
        <v>0</v>
      </c>
      <c r="BS12" s="116">
        <f>ROUND(SUM(BQ12)*Worksheet!$E$26,2)</f>
        <v>10.92</v>
      </c>
      <c r="BT12" s="116">
        <f>ROUND(Y12*Worksheet!$E$27,2)</f>
        <v>0.19</v>
      </c>
      <c r="BU12" s="116">
        <f>ROUND(AO12*Worksheet!$E$29,2)</f>
        <v>0</v>
      </c>
      <c r="BV12" s="116">
        <f>ROUND(AP12*Worksheet!$E$30,2)</f>
        <v>0</v>
      </c>
      <c r="BW12" s="116">
        <f>ROUND(IF($I12&lt;&gt;0,$BQ12*Worksheet!$E$28,0),2)</f>
        <v>0.25</v>
      </c>
      <c r="BX12" s="116">
        <f>ROUND(AE12*Worksheet!$E$31,2)</f>
        <v>0</v>
      </c>
      <c r="BY12" s="116">
        <f>ROUND(AF12*Worksheet!$E$32,2)</f>
        <v>0</v>
      </c>
      <c r="BZ12" s="116">
        <f>ROUND(AG12*Worksheet!$E$33,2)</f>
        <v>0</v>
      </c>
      <c r="CA12" s="116">
        <f>ROUND(ROUND(AH12*BQ12,2)*Worksheet!$E$34,2)</f>
        <v>1.1299999999999999</v>
      </c>
      <c r="CB12" s="116">
        <f>ROUND(AI12*Worksheet!$E$35,2)</f>
        <v>0</v>
      </c>
      <c r="CC12" s="116">
        <f>ROUND(AJ12*Worksheet!$E$36,2)</f>
        <v>0</v>
      </c>
      <c r="CD12" s="116">
        <f>ROUND(AQ12*Worksheet!$E$38,2)</f>
        <v>1.71</v>
      </c>
      <c r="CE12" s="116">
        <f>ROUND(AR12*Worksheet!$E$39,2)</f>
        <v>0</v>
      </c>
      <c r="CF12" s="131">
        <f>IF(AND(L12&gt;275,SUM(Y12:AD12)&lt;100),ROUND(SUM(Y12:AD12)*Worksheet!$E$41,2),0)</f>
        <v>0</v>
      </c>
      <c r="CG12" s="116">
        <f>IF(AND(L12&gt;600,SUM(Y12:AD12)&lt;50),ROUND((50-SUM(Y12:AD12))*(Worksheet!$E$41+1),2),0)</f>
        <v>0</v>
      </c>
      <c r="CH12" s="116">
        <f t="shared" si="28"/>
        <v>138.32999999999998</v>
      </c>
      <c r="CI12" s="116">
        <f t="shared" si="43"/>
        <v>0</v>
      </c>
      <c r="CJ12" s="116">
        <f t="shared" si="44"/>
        <v>138.32999999999998</v>
      </c>
      <c r="CK12" s="95">
        <f t="shared" si="29"/>
        <v>1.63</v>
      </c>
      <c r="CL12" s="116">
        <f t="shared" si="45"/>
        <v>225.48</v>
      </c>
      <c r="CM12" s="116">
        <f t="shared" si="46"/>
        <v>225.48</v>
      </c>
      <c r="CN12" s="116">
        <f t="shared" si="30"/>
        <v>2623008.84</v>
      </c>
      <c r="CO12" s="131">
        <f>ROUND(IF(F12=4,0,(MAX(ROUND(MAX((BI12*MIN(CL12,K12)*Worksheet!$D$126)+MAX(CL12-K12,0)*Worksheet!$F$50,SUM(J12)),2),SUM(CN12))-SUM(CN12))*MinAdj),2)</f>
        <v>0</v>
      </c>
      <c r="CP12" s="116">
        <f t="shared" si="31"/>
        <v>2623008.84</v>
      </c>
      <c r="CQ12" s="131">
        <f>IF(CL12=0,0,-MIN(CP12,MIN(CP12,ROUND(IF(ROUND(IF(CL12=0,0,N12/CL12),2)&lt;STVPP*0.2,STVPP*0.2*CL12*Worksheet!$F$88/1000,N12*Worksheet!$F$88/1000),2))))</f>
        <v>-686566.38</v>
      </c>
      <c r="CR12" s="131">
        <f>-MIN(SUM(CP12,CQ12),IF($P12=0,(ROUND(Worksheet!$E$77*S12,2)+ROUND(Worksheet!$E$78*T12,2)+ROUND(Worksheet!$E$79*U12,2)+ROUND(Worksheet!$E$80*V12,2)+ROUND(Worksheet!$E$81*W12,2)+ROUND(Worksheet!$E$82*X12,2)),(ROUND(ROUND(S12*ROUND((1-$O12/$P12),4),2)*Worksheet!$E$77,2)+ROUND(ROUND(T12*ROUND((1-$O12/$P12),4),2)*Worksheet!$E$78,2)+ROUND(ROUND(U12*ROUND((1-$O12/$P12),4),2)*Worksheet!$E$79,2)+ROUND(ROUND(V12*ROUND((1-$O12/$P12),4),2)*Worksheet!$E$80,2)+ROUND(ROUND(W12*ROUND((1-$O12/$P12),4),2)*Worksheet!$E$81,2)+ROUND(ROUND(X12*ROUND((1-$O12/$P12),4),2)*Worksheet!$E$82,2))))</f>
        <v>-30520.129999999997</v>
      </c>
      <c r="CS12" s="116">
        <f t="shared" si="32"/>
        <v>1905922.33</v>
      </c>
      <c r="CT12" s="116">
        <f>ROUND(MIN(BA12,ROUND((ROUND(AS12*Worksheet!$E$104,2)+ROUND(AV12*Worksheet!$E$107,2)+ROUND(AT12*Worksheet!$E$105,2)+ROUND(AW12*Worksheet!$E$108,2)+ROUND(AU12*Worksheet!$E$106,2)+ROUND(AX12*Worksheet!$E$109,2)+ROUND(AY12*Worksheet!$E$110,2)+ROUND(AZ12*Worksheet!$E$111,2))*Worksheet!$D$114,2))*BaseRate,2)</f>
        <v>127730.34</v>
      </c>
      <c r="CU12" s="121">
        <v>0</v>
      </c>
      <c r="CV12" s="121">
        <v>0</v>
      </c>
      <c r="CW12" s="121">
        <v>0</v>
      </c>
      <c r="CX12" s="121">
        <v>0</v>
      </c>
      <c r="CY12" s="121">
        <v>0</v>
      </c>
      <c r="DA12" s="116">
        <f t="shared" si="33"/>
        <v>0</v>
      </c>
      <c r="DB12" s="116">
        <f>MAX(-CT12,MIN(0,ROUND($R12*EFBPercent+EFBAdd,2)-$Q12),MIN(0,SUM($CS12:CS12)+MIN(0,ROUND($R12*EFBPercent+EFBAdd,2)-$Q12)))</f>
        <v>0</v>
      </c>
      <c r="DC12" s="192">
        <f>IF(CU12&lt;0,0,MAX(-CU12,MIN(0,ROUND($R12*EFBPercent+EFBAdd,2)-$Q12),MIN(0,SUM($CS12:CT12)+MIN(0,ROUND($R12*EFBPercent+EFBAdd,2)-$Q12))))</f>
        <v>0</v>
      </c>
      <c r="DD12" s="192">
        <f>IF(CV12&lt;0,0,MAX(-CV12,MIN(0,ROUND($R12*EFBPercent+EFBAdd,2)-$Q12),MIN(0,SUM($CS12:CU12)+MIN(0,ROUND($R12*EFBPercent+EFBAdd,2)-$Q12))))</f>
        <v>0</v>
      </c>
      <c r="DE12" s="192">
        <f>IF(CW12&lt;0,0,MAX(-CW12,MIN(0,ROUND($R12*EFBPercent+EFBAdd,2)-$Q12),MIN(0,SUM($CS12:CV12)+MIN(0,ROUND($R12*EFBPercent+EFBAdd,2)-$Q12))))</f>
        <v>0</v>
      </c>
      <c r="DF12" s="192">
        <f>IF(CX12&lt;0,0,MAX(-CX12,MIN(0,ROUND($R12*EFBPercent+EFBAdd,2)-$Q12),MIN(0,SUM($CS12:CW12)+MIN(0,ROUND($R12*EFBPercent+EFBAdd,2)-$Q12))))</f>
        <v>0</v>
      </c>
      <c r="DG12" s="116">
        <f>MAX(-CY12,MIN(0,ROUND($R12*EFBPercent+EFBAdd,2)-$Q12),MIN(0,SUM($CS12:CX12)+MIN(0,ROUND($R12*EFBPercent+EFBAdd,2)-$Q12)))</f>
        <v>0</v>
      </c>
      <c r="DI12" s="73">
        <f t="shared" si="34"/>
        <v>1905922.33</v>
      </c>
      <c r="DJ12" s="73">
        <f t="shared" si="35"/>
        <v>127730.34</v>
      </c>
      <c r="DK12" s="73">
        <f t="shared" si="36"/>
        <v>0</v>
      </c>
      <c r="DL12" s="73">
        <f t="shared" si="37"/>
        <v>0</v>
      </c>
      <c r="DM12" s="73">
        <f t="shared" si="38"/>
        <v>0</v>
      </c>
      <c r="DN12" s="73">
        <f t="shared" si="39"/>
        <v>0</v>
      </c>
      <c r="DO12" s="73">
        <f t="shared" si="40"/>
        <v>0</v>
      </c>
      <c r="DP12" s="73"/>
      <c r="DQ12" s="73"/>
    </row>
    <row r="13" spans="1:121" ht="10.199999999999999" x14ac:dyDescent="0.2">
      <c r="A13" s="4" t="s">
        <v>504</v>
      </c>
      <c r="B13" s="72">
        <v>1129</v>
      </c>
      <c r="C13" s="13" t="s">
        <v>30</v>
      </c>
      <c r="D13" s="4">
        <v>2027</v>
      </c>
      <c r="E13" s="4" t="s">
        <v>348</v>
      </c>
      <c r="F13" s="4">
        <v>2</v>
      </c>
      <c r="G13" s="4" t="s">
        <v>666</v>
      </c>
      <c r="H13" s="4">
        <v>100</v>
      </c>
      <c r="I13" s="4" t="s">
        <v>849</v>
      </c>
      <c r="J13" s="5">
        <v>746407.48</v>
      </c>
      <c r="K13" s="5">
        <v>77.38</v>
      </c>
      <c r="L13" s="5">
        <v>93.05</v>
      </c>
      <c r="M13" s="5">
        <v>0</v>
      </c>
      <c r="N13" s="5">
        <v>2729316</v>
      </c>
      <c r="O13" s="5">
        <v>0</v>
      </c>
      <c r="P13" s="5">
        <v>60.29</v>
      </c>
      <c r="Q13" s="5">
        <v>0</v>
      </c>
      <c r="R13" s="5">
        <v>0</v>
      </c>
      <c r="S13" s="5">
        <v>0</v>
      </c>
      <c r="T13" s="5">
        <v>0</v>
      </c>
      <c r="U13" s="5">
        <v>0</v>
      </c>
      <c r="V13" s="5">
        <v>1110.23</v>
      </c>
      <c r="W13" s="5">
        <v>3157.3</v>
      </c>
      <c r="X13" s="5">
        <v>3262.54</v>
      </c>
      <c r="Y13" s="5">
        <v>0</v>
      </c>
      <c r="Z13" s="5">
        <v>6</v>
      </c>
      <c r="AA13" s="5">
        <v>37</v>
      </c>
      <c r="AB13" s="5">
        <v>18</v>
      </c>
      <c r="AC13" s="5">
        <v>0</v>
      </c>
      <c r="AD13" s="5">
        <v>0</v>
      </c>
      <c r="AE13" s="5">
        <v>0</v>
      </c>
      <c r="AF13" s="5">
        <v>0</v>
      </c>
      <c r="AG13" s="5">
        <v>0</v>
      </c>
      <c r="AH13" s="5">
        <v>0.95899999999999996</v>
      </c>
      <c r="AI13" s="5">
        <v>0</v>
      </c>
      <c r="AJ13" s="5">
        <v>0</v>
      </c>
      <c r="AK13" s="5">
        <v>0</v>
      </c>
      <c r="AL13" s="5">
        <v>60.350000000000009</v>
      </c>
      <c r="AM13" s="5">
        <v>7.720000000000006</v>
      </c>
      <c r="AN13" s="5">
        <v>61</v>
      </c>
      <c r="AO13" s="5">
        <f t="shared" si="41"/>
        <v>0</v>
      </c>
      <c r="AP13" s="5">
        <f t="shared" si="47"/>
        <v>0</v>
      </c>
      <c r="AQ13" s="5">
        <v>0</v>
      </c>
      <c r="AR13" s="5">
        <v>0</v>
      </c>
      <c r="AS13" s="5">
        <v>0</v>
      </c>
      <c r="AT13" s="5">
        <v>4032</v>
      </c>
      <c r="AU13" s="5">
        <v>0</v>
      </c>
      <c r="AV13" s="5">
        <v>672</v>
      </c>
      <c r="AW13" s="5">
        <v>93.05</v>
      </c>
      <c r="AX13" s="5">
        <v>1</v>
      </c>
      <c r="AY13" s="199">
        <v>0</v>
      </c>
      <c r="AZ13" s="199">
        <v>0</v>
      </c>
      <c r="BA13" s="5">
        <v>134003.26999999999</v>
      </c>
      <c r="BB13" s="13">
        <v>163496.4</v>
      </c>
      <c r="BC13" s="101">
        <f>MAX(ROUND(IF(F13&lt;4,IF(H13=0,(SUM(Y13:AD13)*Worksheet!$E$26+Y13*Worksheet!$E$27+AR13*Worksheet!$E$39)*-BaseRate,0)),2),MIN(0,-DI13))</f>
        <v>0</v>
      </c>
      <c r="BD13" s="101">
        <f>MAX(ROUND(IF(F13=4,0,IF(I13=0,0,ROUND(SUM(Y13:AD13)*Worksheet!$E$28,2)*-BaseRate)),2),MIN(0,-DI13-BC13))</f>
        <v>-1395.96</v>
      </c>
      <c r="BE13" s="130">
        <f t="shared" si="23"/>
        <v>0</v>
      </c>
      <c r="BF13" s="130">
        <f t="shared" si="24"/>
        <v>1405</v>
      </c>
      <c r="BG13" s="73"/>
      <c r="BH13" s="118">
        <f t="shared" si="25"/>
        <v>24051.08</v>
      </c>
      <c r="BI13" s="118">
        <f t="shared" si="26"/>
        <v>9646</v>
      </c>
      <c r="BJ13" s="232">
        <f>IFERROR(ROUND(IF(AND(BB13*1.12&lt;N13*60/1000,N13/CL13&lt;STVPP*0.2),(CL13*STVPP*0.2*Worksheet!$F$88/1000-BB13*1.12)*PropTaxAdj,IF(BB13*1.12&lt;N13*60/1000,(N13*60/1000-BB13*1.12)*PropTaxAdj,0)),2),0)</f>
        <v>0</v>
      </c>
      <c r="BK13" s="116">
        <f>ROUND(IF($F13=4,0,Y13*Worksheet!$E$16),2)</f>
        <v>0</v>
      </c>
      <c r="BL13" s="116">
        <f>ROUND(IF($F13=4,0,Z13*Worksheet!$E$17),2)</f>
        <v>6</v>
      </c>
      <c r="BM13" s="116">
        <f>ROUND(IF($F13=4,0,AA13*Worksheet!$E$18),2)</f>
        <v>37</v>
      </c>
      <c r="BN13" s="116">
        <f>ROUND(IF($F13=4,0,AB13*Worksheet!$E$19),2)</f>
        <v>18</v>
      </c>
      <c r="BO13" s="116">
        <f>ROUND(IF($F13=4,0,AC13*Worksheet!$E$20),2)</f>
        <v>0</v>
      </c>
      <c r="BP13" s="116">
        <f>ROUND(AD13*Worksheet!$E$21,2)</f>
        <v>0</v>
      </c>
      <c r="BQ13" s="116">
        <f t="shared" si="27"/>
        <v>61</v>
      </c>
      <c r="BR13" s="116">
        <f>ROUND(AD13*Worksheet!$E$25,2)</f>
        <v>0</v>
      </c>
      <c r="BS13" s="116">
        <f>ROUND(SUM(BQ13)*Worksheet!$E$26,2)</f>
        <v>5.37</v>
      </c>
      <c r="BT13" s="116">
        <f>ROUND(Y13*Worksheet!$E$27,2)</f>
        <v>0</v>
      </c>
      <c r="BU13" s="116">
        <f>ROUND(AO13*Worksheet!$E$29,2)</f>
        <v>0</v>
      </c>
      <c r="BV13" s="116">
        <f>ROUND(AP13*Worksheet!$E$30,2)</f>
        <v>0</v>
      </c>
      <c r="BW13" s="116">
        <f>ROUND(IF($I13&lt;&gt;0,$BQ13*Worksheet!$E$28,0),2)</f>
        <v>0.12</v>
      </c>
      <c r="BX13" s="116">
        <f>ROUND(AE13*Worksheet!$E$31,2)</f>
        <v>0</v>
      </c>
      <c r="BY13" s="116">
        <f>ROUND(AF13*Worksheet!$E$32,2)</f>
        <v>0</v>
      </c>
      <c r="BZ13" s="116">
        <f>ROUND(AG13*Worksheet!$E$33,2)</f>
        <v>0</v>
      </c>
      <c r="CA13" s="116">
        <f>ROUND(ROUND(AH13*BQ13,2)*Worksheet!$E$34,2)</f>
        <v>1.46</v>
      </c>
      <c r="CB13" s="116">
        <f>ROUND(AI13*Worksheet!$E$35,2)</f>
        <v>0</v>
      </c>
      <c r="CC13" s="116">
        <f>ROUND(AJ13*Worksheet!$E$36,2)</f>
        <v>0</v>
      </c>
      <c r="CD13" s="116">
        <f>ROUND(AQ13*Worksheet!$E$38,2)</f>
        <v>0</v>
      </c>
      <c r="CE13" s="116">
        <f>ROUND(AR13*Worksheet!$E$39,2)</f>
        <v>0</v>
      </c>
      <c r="CF13" s="131">
        <f>IF(AND(L13&gt;275,SUM(Y13:AD13)&lt;100),ROUND(SUM(Y13:AD13)*Worksheet!$E$41,2),0)</f>
        <v>0</v>
      </c>
      <c r="CG13" s="116">
        <f>IF(AND(L13&gt;600,SUM(Y13:AD13)&lt;50),ROUND((50-SUM(Y13:AD13))*(Worksheet!$E$41+1),2),0)</f>
        <v>0</v>
      </c>
      <c r="CH13" s="116">
        <f t="shared" si="28"/>
        <v>67.95</v>
      </c>
      <c r="CI13" s="116">
        <f t="shared" si="43"/>
        <v>0</v>
      </c>
      <c r="CJ13" s="116">
        <f t="shared" si="44"/>
        <v>67.95</v>
      </c>
      <c r="CK13" s="95">
        <f t="shared" si="29"/>
        <v>1.67</v>
      </c>
      <c r="CL13" s="116">
        <f t="shared" si="45"/>
        <v>113.48</v>
      </c>
      <c r="CM13" s="116">
        <f t="shared" si="46"/>
        <v>113.48</v>
      </c>
      <c r="CN13" s="116">
        <f t="shared" si="30"/>
        <v>1320112.8400000001</v>
      </c>
      <c r="CO13" s="131">
        <f>ROUND(IF(F13=4,0,(MAX(ROUND(MAX((BI13*MIN(CL13,K13)*Worksheet!$D$126)+MAX(CL13-K13,0)*Worksheet!$F$50,SUM(J13)),2),SUM(CN13))-SUM(CN13))*MinAdj),2)</f>
        <v>0</v>
      </c>
      <c r="CP13" s="116">
        <f t="shared" si="31"/>
        <v>1320112.8400000001</v>
      </c>
      <c r="CQ13" s="131">
        <f>IF(CL13=0,0,-MIN(CP13,MIN(CP13,ROUND(IF(ROUND(IF(CL13=0,0,N13/CL13),2)&lt;STVPP*0.2,STVPP*0.2*CL13*Worksheet!$F$88/1000,N13*Worksheet!$F$88/1000),2))))</f>
        <v>-163758.96</v>
      </c>
      <c r="CR13" s="131">
        <f>-MIN(SUM(CP13,CQ13),IF($P13=0,(ROUND(Worksheet!$E$77*S13,2)+ROUND(Worksheet!$E$78*T13,2)+ROUND(Worksheet!$E$79*U13,2)+ROUND(Worksheet!$E$80*V13,2)+ROUND(Worksheet!$E$81*W13,2)+ROUND(Worksheet!$E$82*X13,2)),(ROUND(ROUND(S13*ROUND((1-$O13/$P13),4),2)*Worksheet!$E$77,2)+ROUND(ROUND(T13*ROUND((1-$O13/$P13),4),2)*Worksheet!$E$78,2)+ROUND(ROUND(U13*ROUND((1-$O13/$P13),4),2)*Worksheet!$E$79,2)+ROUND(ROUND(V13*ROUND((1-$O13/$P13),4),2)*Worksheet!$E$80,2)+ROUND(ROUND(W13*ROUND((1-$O13/$P13),4),2)*Worksheet!$E$81,2)+ROUND(ROUND(X13*ROUND((1-$O13/$P13),4),2)*Worksheet!$E$82,2))))</f>
        <v>-5647.5599999999995</v>
      </c>
      <c r="CS13" s="116">
        <f t="shared" si="32"/>
        <v>1150706.32</v>
      </c>
      <c r="CT13" s="116">
        <f>ROUND(MIN(BA13,ROUND((ROUND(AS13*Worksheet!$E$104,2)+ROUND(AV13*Worksheet!$E$107,2)+ROUND(AT13*Worksheet!$E$105,2)+ROUND(AW13*Worksheet!$E$108,2)+ROUND(AU13*Worksheet!$E$106,2)+ROUND(AX13*Worksheet!$E$109,2)+ROUND(AY13*Worksheet!$E$110,2)+ROUND(AZ13*Worksheet!$E$111,2))*Worksheet!$D$114,2))*BaseRate,2)</f>
        <v>15122.9</v>
      </c>
      <c r="CU13" s="121">
        <v>0</v>
      </c>
      <c r="CV13" s="121">
        <v>0</v>
      </c>
      <c r="CW13" s="121">
        <v>0</v>
      </c>
      <c r="CX13" s="121">
        <v>0</v>
      </c>
      <c r="CY13" s="121">
        <v>0</v>
      </c>
      <c r="DA13" s="116">
        <f t="shared" si="33"/>
        <v>0</v>
      </c>
      <c r="DB13" s="116">
        <f>MAX(-CT13,MIN(0,ROUND($R13*EFBPercent+EFBAdd,2)-$Q13),MIN(0,SUM($CS13:CS13)+MIN(0,ROUND($R13*EFBPercent+EFBAdd,2)-$Q13)))</f>
        <v>0</v>
      </c>
      <c r="DC13" s="192">
        <f>IF(CU13&lt;0,0,MAX(-CU13,MIN(0,ROUND($R13*EFBPercent+EFBAdd,2)-$Q13),MIN(0,SUM($CS13:CT13)+MIN(0,ROUND($R13*EFBPercent+EFBAdd,2)-$Q13))))</f>
        <v>0</v>
      </c>
      <c r="DD13" s="192">
        <f>IF(CV13&lt;0,0,MAX(-CV13,MIN(0,ROUND($R13*EFBPercent+EFBAdd,2)-$Q13),MIN(0,SUM($CS13:CU13)+MIN(0,ROUND($R13*EFBPercent+EFBAdd,2)-$Q13))))</f>
        <v>0</v>
      </c>
      <c r="DE13" s="192">
        <f>IF(CW13&lt;0,0,MAX(-CW13,MIN(0,ROUND($R13*EFBPercent+EFBAdd,2)-$Q13),MIN(0,SUM($CS13:CV13)+MIN(0,ROUND($R13*EFBPercent+EFBAdd,2)-$Q13))))</f>
        <v>0</v>
      </c>
      <c r="DF13" s="192">
        <f>IF(CX13&lt;0,0,MAX(-CX13,MIN(0,ROUND($R13*EFBPercent+EFBAdd,2)-$Q13),MIN(0,SUM($CS13:CW13)+MIN(0,ROUND($R13*EFBPercent+EFBAdd,2)-$Q13))))</f>
        <v>0</v>
      </c>
      <c r="DG13" s="116">
        <f>MAX(-CY13,MIN(0,ROUND($R13*EFBPercent+EFBAdd,2)-$Q13),MIN(0,SUM($CS13:CX13)+MIN(0,ROUND($R13*EFBPercent+EFBAdd,2)-$Q13)))</f>
        <v>0</v>
      </c>
      <c r="DI13" s="73">
        <f t="shared" si="34"/>
        <v>1150706.32</v>
      </c>
      <c r="DJ13" s="73">
        <f t="shared" si="35"/>
        <v>15122.9</v>
      </c>
      <c r="DK13" s="73">
        <f t="shared" si="36"/>
        <v>0</v>
      </c>
      <c r="DL13" s="73">
        <f t="shared" si="37"/>
        <v>0</v>
      </c>
      <c r="DM13" s="73">
        <f t="shared" si="38"/>
        <v>0</v>
      </c>
      <c r="DN13" s="73">
        <f t="shared" si="39"/>
        <v>0</v>
      </c>
      <c r="DO13" s="73">
        <f t="shared" si="40"/>
        <v>0</v>
      </c>
      <c r="DP13" s="73"/>
      <c r="DQ13" s="73"/>
    </row>
    <row r="14" spans="1:121" ht="10.199999999999999" x14ac:dyDescent="0.2">
      <c r="A14" s="4" t="s">
        <v>505</v>
      </c>
      <c r="B14" s="72">
        <v>1168</v>
      </c>
      <c r="C14" s="13" t="s">
        <v>31</v>
      </c>
      <c r="D14" s="4">
        <v>2027</v>
      </c>
      <c r="E14" s="4" t="s">
        <v>349</v>
      </c>
      <c r="F14" s="4">
        <v>1</v>
      </c>
      <c r="G14" s="4" t="s">
        <v>675</v>
      </c>
      <c r="H14" s="4">
        <v>0</v>
      </c>
      <c r="I14" s="4" t="s">
        <v>849</v>
      </c>
      <c r="J14" s="5">
        <v>2283007.9800000004</v>
      </c>
      <c r="K14" s="5">
        <v>300.22000000000003</v>
      </c>
      <c r="L14" s="5">
        <v>230.69</v>
      </c>
      <c r="M14" s="5">
        <v>0</v>
      </c>
      <c r="N14" s="5">
        <v>3224708</v>
      </c>
      <c r="O14" s="5">
        <v>0</v>
      </c>
      <c r="P14" s="5">
        <v>70</v>
      </c>
      <c r="Q14" s="5">
        <v>0</v>
      </c>
      <c r="R14" s="5">
        <v>0</v>
      </c>
      <c r="S14" s="5">
        <v>0</v>
      </c>
      <c r="T14" s="5">
        <v>0</v>
      </c>
      <c r="U14" s="5">
        <v>0</v>
      </c>
      <c r="V14" s="5">
        <v>6200.07</v>
      </c>
      <c r="W14" s="5">
        <v>3890.3999999999996</v>
      </c>
      <c r="X14" s="5">
        <v>5830.58</v>
      </c>
      <c r="Y14" s="5">
        <v>4.3899999999999997</v>
      </c>
      <c r="Z14" s="5">
        <v>18</v>
      </c>
      <c r="AA14" s="5">
        <v>86</v>
      </c>
      <c r="AB14" s="5">
        <v>24</v>
      </c>
      <c r="AC14" s="5">
        <v>47</v>
      </c>
      <c r="AD14" s="5">
        <v>0</v>
      </c>
      <c r="AE14" s="5">
        <v>0</v>
      </c>
      <c r="AF14" s="5">
        <v>0</v>
      </c>
      <c r="AG14" s="5">
        <v>0</v>
      </c>
      <c r="AH14" s="5">
        <v>0.94499999999999995</v>
      </c>
      <c r="AI14" s="5">
        <v>0</v>
      </c>
      <c r="AJ14" s="5">
        <v>0</v>
      </c>
      <c r="AK14" s="5">
        <v>0</v>
      </c>
      <c r="AL14" s="5">
        <v>171.18</v>
      </c>
      <c r="AM14" s="5">
        <v>0.78000000000000114</v>
      </c>
      <c r="AN14" s="5">
        <v>175</v>
      </c>
      <c r="AO14" s="5">
        <f t="shared" si="41"/>
        <v>0</v>
      </c>
      <c r="AP14" s="5">
        <f t="shared" si="47"/>
        <v>0</v>
      </c>
      <c r="AQ14" s="5">
        <v>0</v>
      </c>
      <c r="AR14" s="5">
        <v>0</v>
      </c>
      <c r="AS14" s="5">
        <v>0</v>
      </c>
      <c r="AT14" s="5">
        <v>66500</v>
      </c>
      <c r="AU14" s="5">
        <v>0</v>
      </c>
      <c r="AV14" s="5">
        <v>1400</v>
      </c>
      <c r="AW14" s="5">
        <v>230.69</v>
      </c>
      <c r="AX14" s="5">
        <v>1</v>
      </c>
      <c r="AY14" s="199">
        <v>0</v>
      </c>
      <c r="AZ14" s="199">
        <v>0</v>
      </c>
      <c r="BA14" s="5">
        <v>271527.98</v>
      </c>
      <c r="BB14" s="13">
        <v>193429.08</v>
      </c>
      <c r="BC14" s="101">
        <f>MAX(ROUND(IF(F14&lt;4,IF(H14=0,(SUM(Y14:AD14)*Worksheet!$E$26+Y14*Worksheet!$E$27+AR14*Worksheet!$E$39)*-BaseRate,0)),2),MIN(0,-DI14))</f>
        <v>-192323.97</v>
      </c>
      <c r="BD14" s="101">
        <f>MAX(ROUND(IF(F14=4,0,IF(I14=0,0,ROUND(SUM(Y14:AD14)*Worksheet!$E$28,2)*-BaseRate)),2),MIN(0,-DI14-BC14))</f>
        <v>-4187.88</v>
      </c>
      <c r="BE14" s="130">
        <f t="shared" si="23"/>
        <v>2514</v>
      </c>
      <c r="BF14" s="130">
        <f t="shared" si="24"/>
        <v>1405</v>
      </c>
      <c r="BG14" s="73"/>
      <c r="BH14" s="118">
        <f t="shared" si="25"/>
        <v>12182.5</v>
      </c>
      <c r="BI14" s="118">
        <f t="shared" si="26"/>
        <v>7604.45</v>
      </c>
      <c r="BJ14" s="232">
        <f>IFERROR(ROUND(IF(AND(BB14*1.12&lt;N14*60/1000,N14/CL14&lt;STVPP*0.2),(CL14*STVPP*0.2*Worksheet!$F$88/1000-BB14*1.12)*PropTaxAdj,IF(BB14*1.12&lt;N14*60/1000,(N14*60/1000-BB14*1.12)*PropTaxAdj,0)),2),0)</f>
        <v>0</v>
      </c>
      <c r="BK14" s="116">
        <f>ROUND(IF($F14=4,0,Y14*Worksheet!$E$16),2)</f>
        <v>4.3899999999999997</v>
      </c>
      <c r="BL14" s="116">
        <f>ROUND(IF($F14=4,0,Z14*Worksheet!$E$17),2)</f>
        <v>18</v>
      </c>
      <c r="BM14" s="116">
        <f>ROUND(IF($F14=4,0,AA14*Worksheet!$E$18),2)</f>
        <v>86</v>
      </c>
      <c r="BN14" s="116">
        <f>ROUND(IF($F14=4,0,AB14*Worksheet!$E$19),2)</f>
        <v>24</v>
      </c>
      <c r="BO14" s="116">
        <f>ROUND(IF($F14=4,0,AC14*Worksheet!$E$20),2)</f>
        <v>47</v>
      </c>
      <c r="BP14" s="116">
        <f>ROUND(AD14*Worksheet!$E$21,2)</f>
        <v>0</v>
      </c>
      <c r="BQ14" s="116">
        <f t="shared" si="27"/>
        <v>179.39</v>
      </c>
      <c r="BR14" s="116">
        <f>ROUND(AD14*Worksheet!$E$25,2)</f>
        <v>0</v>
      </c>
      <c r="BS14" s="116">
        <f>ROUND(SUM(BQ14)*Worksheet!$E$26,2)</f>
        <v>15.79</v>
      </c>
      <c r="BT14" s="116">
        <f>ROUND(Y14*Worksheet!$E$27,2)</f>
        <v>0.75</v>
      </c>
      <c r="BU14" s="116">
        <f>ROUND(AO14*Worksheet!$E$29,2)</f>
        <v>0</v>
      </c>
      <c r="BV14" s="116">
        <f>ROUND(AP14*Worksheet!$E$30,2)</f>
        <v>0</v>
      </c>
      <c r="BW14" s="116">
        <f>ROUND(IF($I14&lt;&gt;0,$BQ14*Worksheet!$E$28,0),2)</f>
        <v>0.36</v>
      </c>
      <c r="BX14" s="116">
        <f>ROUND(AE14*Worksheet!$E$31,2)</f>
        <v>0</v>
      </c>
      <c r="BY14" s="116">
        <f>ROUND(AF14*Worksheet!$E$32,2)</f>
        <v>0</v>
      </c>
      <c r="BZ14" s="116">
        <f>ROUND(AG14*Worksheet!$E$33,2)</f>
        <v>0</v>
      </c>
      <c r="CA14" s="116">
        <f>ROUND(ROUND(AH14*BQ14,2)*Worksheet!$E$34,2)</f>
        <v>4.24</v>
      </c>
      <c r="CB14" s="116">
        <f>ROUND(AI14*Worksheet!$E$35,2)</f>
        <v>0</v>
      </c>
      <c r="CC14" s="116">
        <f>ROUND(AJ14*Worksheet!$E$36,2)</f>
        <v>0</v>
      </c>
      <c r="CD14" s="116">
        <f>ROUND(AQ14*Worksheet!$E$38,2)</f>
        <v>0</v>
      </c>
      <c r="CE14" s="116">
        <f>ROUND(AR14*Worksheet!$E$39,2)</f>
        <v>0</v>
      </c>
      <c r="CF14" s="131">
        <f>IF(AND(L14&gt;275,SUM(Y14:AD14)&lt;100),ROUND(SUM(Y14:AD14)*Worksheet!$E$41,2),0)</f>
        <v>0</v>
      </c>
      <c r="CG14" s="116">
        <f>IF(AND(L14&gt;600,SUM(Y14:AD14)&lt;50),ROUND((50-SUM(Y14:AD14))*(Worksheet!$E$41+1),2),0)</f>
        <v>0</v>
      </c>
      <c r="CH14" s="116">
        <f t="shared" si="28"/>
        <v>200.53</v>
      </c>
      <c r="CI14" s="116">
        <f t="shared" si="43"/>
        <v>0</v>
      </c>
      <c r="CJ14" s="116">
        <f t="shared" si="44"/>
        <v>200.53</v>
      </c>
      <c r="CK14" s="95">
        <f t="shared" si="29"/>
        <v>1.32</v>
      </c>
      <c r="CL14" s="116">
        <f t="shared" si="45"/>
        <v>264.7</v>
      </c>
      <c r="CM14" s="116">
        <f t="shared" si="46"/>
        <v>264.7</v>
      </c>
      <c r="CN14" s="116">
        <f t="shared" si="30"/>
        <v>3079255.1</v>
      </c>
      <c r="CO14" s="131">
        <f>ROUND(IF(F14=4,0,(MAX(ROUND(MAX((BI14*MIN(CL14,K14)*Worksheet!$D$126)+MAX(CL14-K14,0)*Worksheet!$F$50,SUM(J14)),2),SUM(CN14))-SUM(CN14))*MinAdj),2)</f>
        <v>0</v>
      </c>
      <c r="CP14" s="116">
        <f t="shared" si="31"/>
        <v>3079255.1</v>
      </c>
      <c r="CQ14" s="131">
        <f>IF(CL14=0,0,-MIN(CP14,MIN(CP14,ROUND(IF(ROUND(IF(CL14=0,0,N14/CL14),2)&lt;STVPP*0.2,STVPP*0.2*CL14*Worksheet!$F$88/1000,N14*Worksheet!$F$88/1000),2))))</f>
        <v>-193482.48</v>
      </c>
      <c r="CR14" s="131">
        <f>-MIN(SUM(CP14,CQ14),IF($P14=0,(ROUND(Worksheet!$E$77*S14,2)+ROUND(Worksheet!$E$78*T14,2)+ROUND(Worksheet!$E$79*U14,2)+ROUND(Worksheet!$E$80*V14,2)+ROUND(Worksheet!$E$81*W14,2)+ROUND(Worksheet!$E$82*X14,2)),(ROUND(ROUND(S14*ROUND((1-$O14/$P14),4),2)*Worksheet!$E$77,2)+ROUND(ROUND(T14*ROUND((1-$O14/$P14),4),2)*Worksheet!$E$78,2)+ROUND(ROUND(U14*ROUND((1-$O14/$P14),4),2)*Worksheet!$E$79,2)+ROUND(ROUND(V14*ROUND((1-$O14/$P14),4),2)*Worksheet!$E$80,2)+ROUND(ROUND(W14*ROUND((1-$O14/$P14),4),2)*Worksheet!$E$81,2)+ROUND(ROUND(X14*ROUND((1-$O14/$P14),4),2)*Worksheet!$E$82,2))))</f>
        <v>-11940.79</v>
      </c>
      <c r="CS14" s="116">
        <f t="shared" si="32"/>
        <v>2873831.83</v>
      </c>
      <c r="CT14" s="116">
        <f>ROUND(MIN(BA14,ROUND((ROUND(AS14*Worksheet!$E$104,2)+ROUND(AV14*Worksheet!$E$107,2)+ROUND(AT14*Worksheet!$E$105,2)+ROUND(AW14*Worksheet!$E$108,2)+ROUND(AU14*Worksheet!$E$106,2)+ROUND(AX14*Worksheet!$E$109,2)+ROUND(AY14*Worksheet!$E$110,2)+ROUND(AZ14*Worksheet!$E$111,2))*Worksheet!$D$114,2))*BaseRate,2)</f>
        <v>97251.88</v>
      </c>
      <c r="CU14" s="121">
        <v>0</v>
      </c>
      <c r="CV14" s="121">
        <v>0</v>
      </c>
      <c r="CW14" s="121">
        <v>0</v>
      </c>
      <c r="CX14" s="121">
        <v>0</v>
      </c>
      <c r="CY14" s="121">
        <v>0</v>
      </c>
      <c r="DA14" s="116">
        <f t="shared" si="33"/>
        <v>0</v>
      </c>
      <c r="DB14" s="116">
        <f>MAX(-CT14,MIN(0,ROUND($R14*EFBPercent+EFBAdd,2)-$Q14),MIN(0,SUM($CS14:CS14)+MIN(0,ROUND($R14*EFBPercent+EFBAdd,2)-$Q14)))</f>
        <v>0</v>
      </c>
      <c r="DC14" s="192">
        <f>IF(CU14&lt;0,0,MAX(-CU14,MIN(0,ROUND($R14*EFBPercent+EFBAdd,2)-$Q14),MIN(0,SUM($CS14:CT14)+MIN(0,ROUND($R14*EFBPercent+EFBAdd,2)-$Q14))))</f>
        <v>0</v>
      </c>
      <c r="DD14" s="192">
        <f>IF(CV14&lt;0,0,MAX(-CV14,MIN(0,ROUND($R14*EFBPercent+EFBAdd,2)-$Q14),MIN(0,SUM($CS14:CU14)+MIN(0,ROUND($R14*EFBPercent+EFBAdd,2)-$Q14))))</f>
        <v>0</v>
      </c>
      <c r="DE14" s="192">
        <f>IF(CW14&lt;0,0,MAX(-CW14,MIN(0,ROUND($R14*EFBPercent+EFBAdd,2)-$Q14),MIN(0,SUM($CS14:CV14)+MIN(0,ROUND($R14*EFBPercent+EFBAdd,2)-$Q14))))</f>
        <v>0</v>
      </c>
      <c r="DF14" s="192">
        <f>IF(CX14&lt;0,0,MAX(-CX14,MIN(0,ROUND($R14*EFBPercent+EFBAdd,2)-$Q14),MIN(0,SUM($CS14:CW14)+MIN(0,ROUND($R14*EFBPercent+EFBAdd,2)-$Q14))))</f>
        <v>0</v>
      </c>
      <c r="DG14" s="116">
        <f>MAX(-CY14,MIN(0,ROUND($R14*EFBPercent+EFBAdd,2)-$Q14),MIN(0,SUM($CS14:CX14)+MIN(0,ROUND($R14*EFBPercent+EFBAdd,2)-$Q14)))</f>
        <v>0</v>
      </c>
      <c r="DI14" s="73">
        <f t="shared" si="34"/>
        <v>2873831.83</v>
      </c>
      <c r="DJ14" s="73">
        <f t="shared" si="35"/>
        <v>97251.88</v>
      </c>
      <c r="DK14" s="73">
        <f t="shared" si="36"/>
        <v>0</v>
      </c>
      <c r="DL14" s="73">
        <f t="shared" si="37"/>
        <v>0</v>
      </c>
      <c r="DM14" s="73">
        <f t="shared" si="38"/>
        <v>0</v>
      </c>
      <c r="DN14" s="73">
        <f t="shared" si="39"/>
        <v>0</v>
      </c>
      <c r="DO14" s="73">
        <f t="shared" si="40"/>
        <v>0</v>
      </c>
      <c r="DP14" s="73"/>
      <c r="DQ14" s="73"/>
    </row>
    <row r="15" spans="1:121" ht="10.199999999999999" x14ac:dyDescent="0.2">
      <c r="A15" s="4" t="s">
        <v>506</v>
      </c>
      <c r="B15" s="72">
        <v>1045</v>
      </c>
      <c r="C15" s="13" t="s">
        <v>32</v>
      </c>
      <c r="D15" s="4">
        <v>2027</v>
      </c>
      <c r="E15" s="4" t="s">
        <v>350</v>
      </c>
      <c r="F15" s="4">
        <v>1</v>
      </c>
      <c r="G15" s="4" t="s">
        <v>659</v>
      </c>
      <c r="H15" s="4">
        <v>100</v>
      </c>
      <c r="I15" s="4" t="s">
        <v>849</v>
      </c>
      <c r="J15" s="5">
        <v>1554011.69</v>
      </c>
      <c r="K15" s="5">
        <v>229.47</v>
      </c>
      <c r="L15" s="5">
        <v>34</v>
      </c>
      <c r="M15" s="5">
        <v>0</v>
      </c>
      <c r="N15" s="5">
        <v>213399</v>
      </c>
      <c r="O15" s="5">
        <v>0</v>
      </c>
      <c r="P15" s="5">
        <v>182.99</v>
      </c>
      <c r="Q15" s="5">
        <v>0</v>
      </c>
      <c r="R15" s="5">
        <v>0</v>
      </c>
      <c r="S15" s="5">
        <v>0</v>
      </c>
      <c r="T15" s="5">
        <v>0</v>
      </c>
      <c r="U15" s="5">
        <v>0</v>
      </c>
      <c r="V15" s="5">
        <v>3157.62</v>
      </c>
      <c r="W15" s="5">
        <v>150.19</v>
      </c>
      <c r="X15" s="5">
        <v>11250.88</v>
      </c>
      <c r="Y15" s="5">
        <v>1.45</v>
      </c>
      <c r="Z15" s="5">
        <v>0</v>
      </c>
      <c r="AA15" s="5">
        <v>0</v>
      </c>
      <c r="AB15" s="5">
        <v>0</v>
      </c>
      <c r="AC15" s="5">
        <v>119.37</v>
      </c>
      <c r="AD15" s="5">
        <v>34.630000000000003</v>
      </c>
      <c r="AE15" s="5">
        <v>0</v>
      </c>
      <c r="AF15" s="5">
        <v>0</v>
      </c>
      <c r="AG15" s="5">
        <v>0</v>
      </c>
      <c r="AH15" s="5">
        <v>1</v>
      </c>
      <c r="AI15" s="5">
        <v>0</v>
      </c>
      <c r="AJ15" s="5">
        <v>0</v>
      </c>
      <c r="AK15" s="5">
        <v>0</v>
      </c>
      <c r="AL15" s="5">
        <v>149.88999999999999</v>
      </c>
      <c r="AM15" s="5">
        <v>0</v>
      </c>
      <c r="AN15" s="5">
        <v>154</v>
      </c>
      <c r="AO15" s="5">
        <f t="shared" si="41"/>
        <v>0</v>
      </c>
      <c r="AP15" s="5">
        <f t="shared" si="47"/>
        <v>0</v>
      </c>
      <c r="AQ15" s="5">
        <v>0</v>
      </c>
      <c r="AR15" s="5">
        <v>0</v>
      </c>
      <c r="AS15" s="5">
        <v>0</v>
      </c>
      <c r="AT15" s="5">
        <v>71540</v>
      </c>
      <c r="AU15" s="5">
        <v>0</v>
      </c>
      <c r="AV15" s="5">
        <v>3384</v>
      </c>
      <c r="AW15" s="5">
        <v>34</v>
      </c>
      <c r="AX15" s="5">
        <v>1</v>
      </c>
      <c r="AY15" s="199">
        <v>0</v>
      </c>
      <c r="AZ15" s="199">
        <v>0</v>
      </c>
      <c r="BA15" s="5">
        <v>597070.42000000004</v>
      </c>
      <c r="BB15" s="13">
        <v>139518.42000000001</v>
      </c>
      <c r="BC15" s="101">
        <f>MAX(ROUND(IF(F15&lt;4,IF(H15=0,(SUM(Y15:AD15)*Worksheet!$E$26+Y15*Worksheet!$E$27+AR15*Worksheet!$E$39)*-BaseRate,0)),2),MIN(0,-DI15))</f>
        <v>0</v>
      </c>
      <c r="BD15" s="101">
        <f>MAX(ROUND(IF(F15=4,0,IF(I15=0,0,ROUND(SUM(Y15:AD15)*Worksheet!$E$28,2)*-BaseRate)),2),MIN(0,-DI15-BC15))</f>
        <v>-3606.23</v>
      </c>
      <c r="BE15" s="130">
        <f t="shared" si="23"/>
        <v>0</v>
      </c>
      <c r="BF15" s="130">
        <f t="shared" si="24"/>
        <v>1405</v>
      </c>
      <c r="BG15" s="73"/>
      <c r="BH15" s="118">
        <f t="shared" si="25"/>
        <v>9224.7999999999993</v>
      </c>
      <c r="BI15" s="118">
        <f t="shared" si="26"/>
        <v>6772.18</v>
      </c>
      <c r="BJ15" s="232">
        <f>IFERROR(ROUND(IF(AND(BB15*1.12&lt;N15*60/1000,N15/CL15&lt;STVPP*0.2),(CL15*STVPP*0.2*Worksheet!$F$88/1000-BB15*1.12)*PropTaxAdj,IF(BB15*1.12&lt;N15*60/1000,(N15*60/1000-BB15*1.12)*PropTaxAdj,0)),2),0)</f>
        <v>0</v>
      </c>
      <c r="BK15" s="116">
        <f>ROUND(IF($F15=4,0,Y15*Worksheet!$E$16),2)</f>
        <v>1.45</v>
      </c>
      <c r="BL15" s="116">
        <f>ROUND(IF($F15=4,0,Z15*Worksheet!$E$17),2)</f>
        <v>0</v>
      </c>
      <c r="BM15" s="116">
        <f>ROUND(IF($F15=4,0,AA15*Worksheet!$E$18),2)</f>
        <v>0</v>
      </c>
      <c r="BN15" s="116">
        <f>ROUND(IF($F15=4,0,AB15*Worksheet!$E$19),2)</f>
        <v>0</v>
      </c>
      <c r="BO15" s="116">
        <f>ROUND(IF($F15=4,0,AC15*Worksheet!$E$20),2)</f>
        <v>119.37</v>
      </c>
      <c r="BP15" s="116">
        <f>ROUND(AD15*Worksheet!$E$21,2)</f>
        <v>34.630000000000003</v>
      </c>
      <c r="BQ15" s="116">
        <f t="shared" si="27"/>
        <v>155.45000000000002</v>
      </c>
      <c r="BR15" s="116">
        <f>ROUND(AD15*Worksheet!$E$25,2)</f>
        <v>8.66</v>
      </c>
      <c r="BS15" s="116">
        <f>ROUND(SUM(BQ15)*Worksheet!$E$26,2)</f>
        <v>13.68</v>
      </c>
      <c r="BT15" s="116">
        <f>ROUND(Y15*Worksheet!$E$27,2)</f>
        <v>0.25</v>
      </c>
      <c r="BU15" s="116">
        <f>ROUND(AO15*Worksheet!$E$29,2)</f>
        <v>0</v>
      </c>
      <c r="BV15" s="116">
        <f>ROUND(AP15*Worksheet!$E$30,2)</f>
        <v>0</v>
      </c>
      <c r="BW15" s="116">
        <f>ROUND(IF($I15&lt;&gt;0,$BQ15*Worksheet!$E$28,0),2)</f>
        <v>0.31</v>
      </c>
      <c r="BX15" s="116">
        <f>ROUND(AE15*Worksheet!$E$31,2)</f>
        <v>0</v>
      </c>
      <c r="BY15" s="116">
        <f>ROUND(AF15*Worksheet!$E$32,2)</f>
        <v>0</v>
      </c>
      <c r="BZ15" s="116">
        <f>ROUND(AG15*Worksheet!$E$33,2)</f>
        <v>0</v>
      </c>
      <c r="CA15" s="116">
        <f>ROUND(ROUND(AH15*BQ15,2)*Worksheet!$E$34,2)</f>
        <v>3.89</v>
      </c>
      <c r="CB15" s="116">
        <f>ROUND(AI15*Worksheet!$E$35,2)</f>
        <v>0</v>
      </c>
      <c r="CC15" s="116">
        <f>ROUND(AJ15*Worksheet!$E$36,2)</f>
        <v>0</v>
      </c>
      <c r="CD15" s="116">
        <f>ROUND(AQ15*Worksheet!$E$38,2)</f>
        <v>0</v>
      </c>
      <c r="CE15" s="116">
        <f>ROUND(AR15*Worksheet!$E$39,2)</f>
        <v>0</v>
      </c>
      <c r="CF15" s="131">
        <f>IF(AND(L15&gt;275,SUM(Y15:AD15)&lt;100),ROUND(SUM(Y15:AD15)*Worksheet!$E$41,2),0)</f>
        <v>0</v>
      </c>
      <c r="CG15" s="116">
        <f>IF(AND(L15&gt;600,SUM(Y15:AD15)&lt;50),ROUND((50-SUM(Y15:AD15))*(Worksheet!$E$41+1),2),0)</f>
        <v>0</v>
      </c>
      <c r="CH15" s="116">
        <f t="shared" si="28"/>
        <v>182.24</v>
      </c>
      <c r="CI15" s="116">
        <f t="shared" si="43"/>
        <v>0</v>
      </c>
      <c r="CJ15" s="116">
        <f t="shared" si="44"/>
        <v>182.24</v>
      </c>
      <c r="CK15" s="95">
        <f t="shared" si="29"/>
        <v>1.4258</v>
      </c>
      <c r="CL15" s="116">
        <f t="shared" si="45"/>
        <v>259.83999999999997</v>
      </c>
      <c r="CM15" s="116">
        <f t="shared" si="46"/>
        <v>259.83999999999997</v>
      </c>
      <c r="CN15" s="116">
        <f t="shared" si="30"/>
        <v>3022718.72</v>
      </c>
      <c r="CO15" s="131">
        <f>ROUND(IF(F15=4,0,(MAX(ROUND(MAX((BI15*MIN(CL15,K15)*Worksheet!$D$126)+MAX(CL15-K15,0)*Worksheet!$F$50,SUM(J15)),2),SUM(CN15))-SUM(CN15))*MinAdj),2)</f>
        <v>0</v>
      </c>
      <c r="CP15" s="116">
        <f t="shared" si="31"/>
        <v>3022718.72</v>
      </c>
      <c r="CQ15" s="131">
        <f>IF(CL15=0,0,-MIN(CP15,MIN(CP15,ROUND(IF(ROUND(IF(CL15=0,0,N15/CL15),2)&lt;STVPP*0.2,STVPP*0.2*CL15*Worksheet!$F$88/1000,N15*Worksheet!$F$88/1000),2))))</f>
        <v>-143818.32</v>
      </c>
      <c r="CR15" s="131">
        <f>-MIN(SUM(CP15,CQ15),IF($P15=0,(ROUND(Worksheet!$E$77*S15,2)+ROUND(Worksheet!$E$78*T15,2)+ROUND(Worksheet!$E$79*U15,2)+ROUND(Worksheet!$E$80*V15,2)+ROUND(Worksheet!$E$81*W15,2)+ROUND(Worksheet!$E$82*X15,2)),(ROUND(ROUND(S15*ROUND((1-$O15/$P15),4),2)*Worksheet!$E$77,2)+ROUND(ROUND(T15*ROUND((1-$O15/$P15),4),2)*Worksheet!$E$78,2)+ROUND(ROUND(U15*ROUND((1-$O15/$P15),4),2)*Worksheet!$E$79,2)+ROUND(ROUND(V15*ROUND((1-$O15/$P15),4),2)*Worksheet!$E$80,2)+ROUND(ROUND(W15*ROUND((1-$O15/$P15),4),2)*Worksheet!$E$81,2)+ROUND(ROUND(X15*ROUND((1-$O15/$P15),4),2)*Worksheet!$E$82,2))))</f>
        <v>-10919.02</v>
      </c>
      <c r="CS15" s="116">
        <f t="shared" si="32"/>
        <v>2867981.3800000004</v>
      </c>
      <c r="CT15" s="116">
        <f>ROUND(MIN(BA15,ROUND((ROUND(AS15*Worksheet!$E$104,2)+ROUND(AV15*Worksheet!$E$107,2)+ROUND(AT15*Worksheet!$E$105,2)+ROUND(AW15*Worksheet!$E$108,2)+ROUND(AU15*Worksheet!$E$106,2)+ROUND(AX15*Worksheet!$E$109,2)+ROUND(AY15*Worksheet!$E$110,2)+ROUND(AZ15*Worksheet!$E$111,2))*Worksheet!$D$114,2))*BaseRate,2)</f>
        <v>121681.18</v>
      </c>
      <c r="CU15" s="121">
        <v>0</v>
      </c>
      <c r="CV15" s="121">
        <v>0</v>
      </c>
      <c r="CW15" s="121">
        <v>0</v>
      </c>
      <c r="CX15" s="121">
        <v>0</v>
      </c>
      <c r="CY15" s="121">
        <v>0</v>
      </c>
      <c r="DA15" s="116">
        <f t="shared" si="33"/>
        <v>0</v>
      </c>
      <c r="DB15" s="116">
        <f>MAX(-CT15,MIN(0,ROUND($R15*EFBPercent+EFBAdd,2)-$Q15),MIN(0,SUM($CS15:CS15)+MIN(0,ROUND($R15*EFBPercent+EFBAdd,2)-$Q15)))</f>
        <v>0</v>
      </c>
      <c r="DC15" s="192">
        <f>IF(CU15&lt;0,0,MAX(-CU15,MIN(0,ROUND($R15*EFBPercent+EFBAdd,2)-$Q15),MIN(0,SUM($CS15:CT15)+MIN(0,ROUND($R15*EFBPercent+EFBAdd,2)-$Q15))))</f>
        <v>0</v>
      </c>
      <c r="DD15" s="192">
        <f>IF(CV15&lt;0,0,MAX(-CV15,MIN(0,ROUND($R15*EFBPercent+EFBAdd,2)-$Q15),MIN(0,SUM($CS15:CU15)+MIN(0,ROUND($R15*EFBPercent+EFBAdd,2)-$Q15))))</f>
        <v>0</v>
      </c>
      <c r="DE15" s="192">
        <f>IF(CW15&lt;0,0,MAX(-CW15,MIN(0,ROUND($R15*EFBPercent+EFBAdd,2)-$Q15),MIN(0,SUM($CS15:CV15)+MIN(0,ROUND($R15*EFBPercent+EFBAdd,2)-$Q15))))</f>
        <v>0</v>
      </c>
      <c r="DF15" s="192">
        <f>IF(CX15&lt;0,0,MAX(-CX15,MIN(0,ROUND($R15*EFBPercent+EFBAdd,2)-$Q15),MIN(0,SUM($CS15:CW15)+MIN(0,ROUND($R15*EFBPercent+EFBAdd,2)-$Q15))))</f>
        <v>0</v>
      </c>
      <c r="DG15" s="116">
        <f>MAX(-CY15,MIN(0,ROUND($R15*EFBPercent+EFBAdd,2)-$Q15),MIN(0,SUM($CS15:CX15)+MIN(0,ROUND($R15*EFBPercent+EFBAdd,2)-$Q15)))</f>
        <v>0</v>
      </c>
      <c r="DI15" s="73">
        <f t="shared" si="34"/>
        <v>2867981.3800000004</v>
      </c>
      <c r="DJ15" s="73">
        <f t="shared" si="35"/>
        <v>121681.18</v>
      </c>
      <c r="DK15" s="73">
        <f t="shared" si="36"/>
        <v>0</v>
      </c>
      <c r="DL15" s="73">
        <f t="shared" si="37"/>
        <v>0</v>
      </c>
      <c r="DM15" s="73">
        <f t="shared" si="38"/>
        <v>0</v>
      </c>
      <c r="DN15" s="73">
        <f t="shared" si="39"/>
        <v>0</v>
      </c>
      <c r="DO15" s="73">
        <f t="shared" si="40"/>
        <v>0</v>
      </c>
      <c r="DP15" s="73"/>
      <c r="DQ15" s="73"/>
    </row>
    <row r="16" spans="1:121" ht="10.199999999999999" x14ac:dyDescent="0.2">
      <c r="A16" s="4" t="s">
        <v>659</v>
      </c>
      <c r="B16" s="72">
        <v>2507</v>
      </c>
      <c r="C16" s="13" t="s">
        <v>179</v>
      </c>
      <c r="D16" s="4">
        <v>2027</v>
      </c>
      <c r="E16" s="4" t="s">
        <v>1027</v>
      </c>
      <c r="F16" s="4">
        <v>7</v>
      </c>
      <c r="G16" s="4" t="s">
        <v>659</v>
      </c>
      <c r="H16" s="4">
        <v>0</v>
      </c>
      <c r="I16" s="4">
        <v>0</v>
      </c>
      <c r="J16" s="5">
        <v>0</v>
      </c>
      <c r="K16" s="5">
        <v>0</v>
      </c>
      <c r="L16" s="5">
        <v>0</v>
      </c>
      <c r="M16" s="5">
        <v>0</v>
      </c>
      <c r="N16" s="5">
        <v>0</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0</v>
      </c>
      <c r="AK16" s="5">
        <v>0</v>
      </c>
      <c r="AL16" s="5">
        <v>0</v>
      </c>
      <c r="AM16" s="5">
        <v>0</v>
      </c>
      <c r="AN16" s="5">
        <v>0</v>
      </c>
      <c r="AO16" s="5">
        <f t="shared" si="41"/>
        <v>0</v>
      </c>
      <c r="AP16" s="5">
        <v>0</v>
      </c>
      <c r="AQ16" s="5">
        <v>0</v>
      </c>
      <c r="AR16" s="5">
        <v>0</v>
      </c>
      <c r="AS16" s="5">
        <v>0</v>
      </c>
      <c r="AT16" s="5">
        <v>0</v>
      </c>
      <c r="AU16" s="5">
        <v>0</v>
      </c>
      <c r="AV16" s="5">
        <v>0</v>
      </c>
      <c r="AW16" s="5">
        <v>0</v>
      </c>
      <c r="AX16" s="5">
        <v>0</v>
      </c>
      <c r="AY16" s="199">
        <v>0</v>
      </c>
      <c r="AZ16" s="199">
        <v>0</v>
      </c>
      <c r="BA16" s="5">
        <v>0</v>
      </c>
      <c r="BB16" s="13">
        <v>0</v>
      </c>
      <c r="BC16" s="101">
        <f>MAX(ROUND(IF(F16&lt;4,IF(H16=0,(SUM(Y16:AD16)*Worksheet!$E$26+Y16*Worksheet!$E$27+AR16*Worksheet!$E$39)*-BaseRate,0)),2),MIN(0,-DI16))</f>
        <v>0</v>
      </c>
      <c r="BD16" s="101">
        <f>MAX(ROUND(IF(F16=4,0,IF(I16=0,0,ROUND(SUM(Y16:AD16)*Worksheet!$E$28,2)*-BaseRate)),2),MIN(0,-DI16-BC16))</f>
        <v>0</v>
      </c>
      <c r="BE16" s="130">
        <f t="shared" si="23"/>
        <v>0</v>
      </c>
      <c r="BF16" s="130">
        <f t="shared" si="24"/>
        <v>0</v>
      </c>
      <c r="BG16" s="73"/>
      <c r="BH16" s="118">
        <f t="shared" si="25"/>
        <v>0</v>
      </c>
      <c r="BI16" s="118">
        <f t="shared" si="26"/>
        <v>0</v>
      </c>
      <c r="BJ16" s="232">
        <f>IFERROR(ROUND(IF(AND(BB16*1.12&lt;N16*60/1000,N16/CL16&lt;STVPP*0.2),(CL16*STVPP*0.2*Worksheet!$F$88/1000-BB16*1.12)*PropTaxAdj,IF(BB16*1.12&lt;N16*60/1000,(N16*60/1000-BB16*1.12)*PropTaxAdj,0)),2),0)</f>
        <v>0</v>
      </c>
      <c r="BK16" s="116">
        <f>ROUND(IF($F16=4,0,Y16*Worksheet!$E$16),2)</f>
        <v>0</v>
      </c>
      <c r="BL16" s="116">
        <f>ROUND(IF($F16=4,0,Z16*Worksheet!$E$17),2)</f>
        <v>0</v>
      </c>
      <c r="BM16" s="116">
        <f>ROUND(IF($F16=4,0,AA16*Worksheet!$E$18),2)</f>
        <v>0</v>
      </c>
      <c r="BN16" s="116">
        <f>ROUND(IF($F16=4,0,AB16*Worksheet!$E$19),2)</f>
        <v>0</v>
      </c>
      <c r="BO16" s="116">
        <f>ROUND(IF($F16=4,0,AC16*Worksheet!$E$20),2)</f>
        <v>0</v>
      </c>
      <c r="BP16" s="116">
        <f>ROUND(AD16*Worksheet!$E$21,2)</f>
        <v>0</v>
      </c>
      <c r="BQ16" s="116">
        <f t="shared" si="27"/>
        <v>0</v>
      </c>
      <c r="BR16" s="116">
        <f>ROUND(AD16*Worksheet!$E$25,2)</f>
        <v>0</v>
      </c>
      <c r="BS16" s="116">
        <f>ROUND(SUM(BQ16)*Worksheet!$E$26,2)</f>
        <v>0</v>
      </c>
      <c r="BT16" s="116">
        <f>ROUND(Y16*Worksheet!$E$27,2)</f>
        <v>0</v>
      </c>
      <c r="BU16" s="116">
        <f>ROUND(AO16*Worksheet!$E$29,2)</f>
        <v>0</v>
      </c>
      <c r="BV16" s="116">
        <f>ROUND(AP16*Worksheet!$E$30,2)</f>
        <v>0</v>
      </c>
      <c r="BW16" s="116">
        <f>ROUND(IF($I16&lt;&gt;0,$BQ16*Worksheet!$E$28,0),2)</f>
        <v>0</v>
      </c>
      <c r="BX16" s="116">
        <f>ROUND(AE16*Worksheet!$E$31,2)</f>
        <v>0</v>
      </c>
      <c r="BY16" s="116">
        <f>ROUND(AF16*Worksheet!$E$32,2)</f>
        <v>0</v>
      </c>
      <c r="BZ16" s="116">
        <f>ROUND(AG16*Worksheet!$E$33,2)</f>
        <v>0</v>
      </c>
      <c r="CA16" s="116">
        <f>ROUND(ROUND(AH16*BQ16,2)*Worksheet!$E$34,2)</f>
        <v>0</v>
      </c>
      <c r="CB16" s="116">
        <f>ROUND(AI16*Worksheet!$E$35,2)</f>
        <v>0</v>
      </c>
      <c r="CC16" s="116">
        <f>ROUND(AJ16*Worksheet!$E$36,2)</f>
        <v>0</v>
      </c>
      <c r="CD16" s="116">
        <f>ROUND(AQ16*Worksheet!$E$38,2)</f>
        <v>0</v>
      </c>
      <c r="CE16" s="116">
        <f>ROUND(AR16*Worksheet!$E$39,2)</f>
        <v>0</v>
      </c>
      <c r="CF16" s="131">
        <f>IF(AND(L16&gt;275,SUM(Y16:AD16)&lt;100),ROUND(SUM(Y16:AD16)*Worksheet!$E$41,2),0)</f>
        <v>0</v>
      </c>
      <c r="CG16" s="116">
        <f>IF(AND(L16&gt;600,SUM(Y16:AD16)&lt;50),ROUND((50-SUM(Y16:AD16))*(Worksheet!$E$41+1),2),0)</f>
        <v>0</v>
      </c>
      <c r="CH16" s="116">
        <f t="shared" si="28"/>
        <v>0</v>
      </c>
      <c r="CI16" s="116">
        <f t="shared" si="43"/>
        <v>0</v>
      </c>
      <c r="CJ16" s="116">
        <f t="shared" si="44"/>
        <v>0</v>
      </c>
      <c r="CK16" s="95">
        <f t="shared" si="29"/>
        <v>0</v>
      </c>
      <c r="CL16" s="116">
        <f t="shared" si="45"/>
        <v>0</v>
      </c>
      <c r="CM16" s="116">
        <f t="shared" si="46"/>
        <v>0</v>
      </c>
      <c r="CN16" s="116">
        <f t="shared" si="30"/>
        <v>0</v>
      </c>
      <c r="CO16" s="131">
        <f>ROUND(IF(F16=4,0,(MAX(ROUND(MAX((BI16*MIN(CL16,K16)*Worksheet!$D$126)+MAX(CL16-K16,0)*Worksheet!$F$50,SUM(J16)),2),SUM(CN16))-SUM(CN16))*MinAdj),2)</f>
        <v>0</v>
      </c>
      <c r="CP16" s="116">
        <f t="shared" si="31"/>
        <v>0</v>
      </c>
      <c r="CQ16" s="131">
        <f>IF(CL16=0,0,-MIN(CP16,MIN(CP16,ROUND(IF(ROUND(IF(CL16=0,0,N16/CL16),2)&lt;STVPP*0.2,STVPP*0.2*CL16*Worksheet!$F$88/1000,N16*Worksheet!$F$88/1000),2))))</f>
        <v>0</v>
      </c>
      <c r="CR16" s="131">
        <f>-MIN(SUM(CP16,CQ16),IF($P16=0,(ROUND(Worksheet!$E$77*S16,2)+ROUND(Worksheet!$E$78*T16,2)+ROUND(Worksheet!$E$79*U16,2)+ROUND(Worksheet!$E$80*V16,2)+ROUND(Worksheet!$E$81*W16,2)+ROUND(Worksheet!$E$82*X16,2)),(ROUND(ROUND(S16*ROUND((1-$O16/$P16),4),2)*Worksheet!$E$77,2)+ROUND(ROUND(T16*ROUND((1-$O16/$P16),4),2)*Worksheet!$E$78,2)+ROUND(ROUND(U16*ROUND((1-$O16/$P16),4),2)*Worksheet!$E$79,2)+ROUND(ROUND(V16*ROUND((1-$O16/$P16),4),2)*Worksheet!$E$80,2)+ROUND(ROUND(W16*ROUND((1-$O16/$P16),4),2)*Worksheet!$E$81,2)+ROUND(ROUND(X16*ROUND((1-$O16/$P16),4),2)*Worksheet!$E$82,2))))</f>
        <v>0</v>
      </c>
      <c r="CS16" s="116">
        <f t="shared" si="32"/>
        <v>0</v>
      </c>
      <c r="CT16" s="116">
        <f>ROUND(MIN(BA16,ROUND((ROUND(AS16*Worksheet!$E$104,2)+ROUND(AV16*Worksheet!$E$107,2)+ROUND(AT16*Worksheet!$E$105,2)+ROUND(AW16*Worksheet!$E$108,2)+ROUND(AU16*Worksheet!$E$106,2)+ROUND(AX16*Worksheet!$E$109,2)+ROUND(AY16*Worksheet!$E$110,2)+ROUND(AZ16*Worksheet!$E$111,2))*Worksheet!$D$114,2))*BaseRate,2)</f>
        <v>0</v>
      </c>
      <c r="CU16" s="121">
        <v>0</v>
      </c>
      <c r="CV16" s="121">
        <v>0</v>
      </c>
      <c r="CW16" s="121">
        <v>0</v>
      </c>
      <c r="CX16" s="121">
        <v>0</v>
      </c>
      <c r="CY16" s="121">
        <v>0</v>
      </c>
      <c r="DA16" s="116">
        <f t="shared" si="33"/>
        <v>0</v>
      </c>
      <c r="DB16" s="116">
        <f>MAX(-CT16,MIN(0,ROUND($R16*EFBPercent+EFBAdd,2)-$Q16),MIN(0,SUM($CS16:CS16)+MIN(0,ROUND($R16*EFBPercent+EFBAdd,2)-$Q16)))</f>
        <v>0</v>
      </c>
      <c r="DC16" s="192">
        <f>IF(CU16&lt;0,0,MAX(-CU16,MIN(0,ROUND($R16*EFBPercent+EFBAdd,2)-$Q16),MIN(0,SUM($CS16:CT16)+MIN(0,ROUND($R16*EFBPercent+EFBAdd,2)-$Q16))))</f>
        <v>0</v>
      </c>
      <c r="DD16" s="192">
        <f>IF(CV16&lt;0,0,MAX(-CV16,MIN(0,ROUND($R16*EFBPercent+EFBAdd,2)-$Q16),MIN(0,SUM($CS16:CU16)+MIN(0,ROUND($R16*EFBPercent+EFBAdd,2)-$Q16))))</f>
        <v>0</v>
      </c>
      <c r="DE16" s="192">
        <f>IF(CW16&lt;0,0,MAX(-CW16,MIN(0,ROUND($R16*EFBPercent+EFBAdd,2)-$Q16),MIN(0,SUM($CS16:CV16)+MIN(0,ROUND($R16*EFBPercent+EFBAdd,2)-$Q16))))</f>
        <v>0</v>
      </c>
      <c r="DF16" s="192">
        <f>IF(CX16&lt;0,0,MAX(-CX16,MIN(0,ROUND($R16*EFBPercent+EFBAdd,2)-$Q16),MIN(0,SUM($CS16:CW16)+MIN(0,ROUND($R16*EFBPercent+EFBAdd,2)-$Q16))))</f>
        <v>0</v>
      </c>
      <c r="DG16" s="116">
        <f>MAX(-CY16,MIN(0,ROUND($R16*EFBPercent+EFBAdd,2)-$Q16),MIN(0,SUM($CS16:CX16)+MIN(0,ROUND($R16*EFBPercent+EFBAdd,2)-$Q16)))</f>
        <v>0</v>
      </c>
      <c r="DI16" s="73">
        <f t="shared" si="34"/>
        <v>0</v>
      </c>
      <c r="DJ16" s="73">
        <f t="shared" si="35"/>
        <v>0</v>
      </c>
      <c r="DK16" s="73">
        <f t="shared" si="36"/>
        <v>0</v>
      </c>
      <c r="DL16" s="73">
        <f t="shared" si="37"/>
        <v>0</v>
      </c>
      <c r="DM16" s="73">
        <f t="shared" si="38"/>
        <v>0</v>
      </c>
      <c r="DN16" s="73">
        <f t="shared" si="39"/>
        <v>0</v>
      </c>
      <c r="DO16" s="73">
        <f t="shared" si="40"/>
        <v>0</v>
      </c>
      <c r="DP16" s="73"/>
      <c r="DQ16" s="73"/>
    </row>
    <row r="17" spans="1:121" ht="10.199999999999999" x14ac:dyDescent="0.2">
      <c r="A17" s="4" t="s">
        <v>507</v>
      </c>
      <c r="B17" s="72">
        <v>1011</v>
      </c>
      <c r="C17" s="13" t="s">
        <v>33</v>
      </c>
      <c r="D17" s="4">
        <v>2027</v>
      </c>
      <c r="E17" s="4" t="s">
        <v>351</v>
      </c>
      <c r="F17" s="4">
        <v>2</v>
      </c>
      <c r="G17" s="4" t="s">
        <v>680</v>
      </c>
      <c r="H17" s="4">
        <v>100</v>
      </c>
      <c r="I17" s="4" t="s">
        <v>1152</v>
      </c>
      <c r="J17" s="5">
        <v>2306163.33</v>
      </c>
      <c r="K17" s="5">
        <v>109.55</v>
      </c>
      <c r="L17" s="5">
        <v>1152</v>
      </c>
      <c r="M17" s="5">
        <v>0</v>
      </c>
      <c r="N17" s="5">
        <v>22674316</v>
      </c>
      <c r="O17" s="5">
        <v>0</v>
      </c>
      <c r="P17" s="5">
        <v>60</v>
      </c>
      <c r="Q17" s="5">
        <v>0</v>
      </c>
      <c r="R17" s="5">
        <v>0</v>
      </c>
      <c r="S17" s="5">
        <v>0</v>
      </c>
      <c r="T17" s="5">
        <v>1905077.77</v>
      </c>
      <c r="U17" s="5">
        <v>0</v>
      </c>
      <c r="V17" s="5">
        <v>53579.49</v>
      </c>
      <c r="W17" s="5">
        <v>7207.94</v>
      </c>
      <c r="X17" s="5">
        <v>13105.98</v>
      </c>
      <c r="Y17" s="5">
        <v>0</v>
      </c>
      <c r="Z17" s="5">
        <v>12</v>
      </c>
      <c r="AA17" s="5">
        <v>62</v>
      </c>
      <c r="AB17" s="5">
        <v>21</v>
      </c>
      <c r="AC17" s="5">
        <v>0</v>
      </c>
      <c r="AD17" s="5">
        <v>0</v>
      </c>
      <c r="AE17" s="5">
        <v>0</v>
      </c>
      <c r="AF17" s="5">
        <v>1</v>
      </c>
      <c r="AG17" s="5">
        <v>2</v>
      </c>
      <c r="AH17" s="5">
        <v>7.5999999999999998E-2</v>
      </c>
      <c r="AI17" s="5">
        <v>0</v>
      </c>
      <c r="AJ17" s="5">
        <v>0</v>
      </c>
      <c r="AK17" s="5">
        <v>0</v>
      </c>
      <c r="AL17" s="5">
        <v>89</v>
      </c>
      <c r="AM17" s="5">
        <v>6.0400000000000063</v>
      </c>
      <c r="AN17" s="5">
        <v>95</v>
      </c>
      <c r="AO17" s="5">
        <f t="shared" si="41"/>
        <v>0</v>
      </c>
      <c r="AP17" s="5">
        <f t="shared" ref="AP17:AP20" si="48">IF(AM17&gt;0,SUM(Z17:AD17)-AN17,0)</f>
        <v>0</v>
      </c>
      <c r="AQ17" s="5">
        <v>0</v>
      </c>
      <c r="AR17" s="5">
        <v>0</v>
      </c>
      <c r="AS17" s="5">
        <v>0</v>
      </c>
      <c r="AT17" s="5">
        <v>210464</v>
      </c>
      <c r="AU17" s="5">
        <v>0</v>
      </c>
      <c r="AV17" s="5">
        <v>1944</v>
      </c>
      <c r="AW17" s="5">
        <v>1152</v>
      </c>
      <c r="AX17" s="5">
        <v>2</v>
      </c>
      <c r="AY17" s="199">
        <v>23752</v>
      </c>
      <c r="AZ17" s="199">
        <v>37736</v>
      </c>
      <c r="BA17" s="5">
        <v>456026.1</v>
      </c>
      <c r="BB17" s="13">
        <v>1316738.22</v>
      </c>
      <c r="BC17" s="101">
        <f>MAX(ROUND(IF(F17&lt;4,IF(H17=0,(SUM(Y17:AD17)*Worksheet!$E$26+Y17*Worksheet!$E$27+AR17*Worksheet!$E$39)*-BaseRate,0)),2),MIN(0,-DI17))</f>
        <v>0</v>
      </c>
      <c r="BD17" s="101">
        <f>MAX(ROUND(IF(F17=4,0,IF(I17=0,0,ROUND(SUM(Y17:AD17)*Worksheet!$E$28,2)*-BaseRate)),2),MIN(0,-DI17-BC17))</f>
        <v>0</v>
      </c>
      <c r="BE17" s="130">
        <f t="shared" si="23"/>
        <v>0</v>
      </c>
      <c r="BF17" s="130">
        <f t="shared" si="24"/>
        <v>0</v>
      </c>
      <c r="BG17" s="73"/>
      <c r="BH17" s="118">
        <f t="shared" si="25"/>
        <v>142507.17000000001</v>
      </c>
      <c r="BI17" s="118">
        <f t="shared" si="26"/>
        <v>21051.24</v>
      </c>
      <c r="BJ17" s="232">
        <f>IFERROR(ROUND(IF(AND(BB17*1.12&lt;N17*60/1000,N17/CL17&lt;STVPP*0.2),(CL17*STVPP*0.2*Worksheet!$F$88/1000-BB17*1.12)*PropTaxAdj,IF(BB17*1.12&lt;N17*60/1000,(N17*60/1000-BB17*1.12)*PropTaxAdj,0)),2),0)</f>
        <v>0</v>
      </c>
      <c r="BK17" s="116">
        <f>ROUND(IF($F17=4,0,Y17*Worksheet!$E$16),2)</f>
        <v>0</v>
      </c>
      <c r="BL17" s="116">
        <f>ROUND(IF($F17=4,0,Z17*Worksheet!$E$17),2)</f>
        <v>12</v>
      </c>
      <c r="BM17" s="116">
        <f>ROUND(IF($F17=4,0,AA17*Worksheet!$E$18),2)</f>
        <v>62</v>
      </c>
      <c r="BN17" s="116">
        <f>ROUND(IF($F17=4,0,AB17*Worksheet!$E$19),2)</f>
        <v>21</v>
      </c>
      <c r="BO17" s="116">
        <f>ROUND(IF($F17=4,0,AC17*Worksheet!$E$20),2)</f>
        <v>0</v>
      </c>
      <c r="BP17" s="116">
        <f>ROUND(AD17*Worksheet!$E$21,2)</f>
        <v>0</v>
      </c>
      <c r="BQ17" s="116">
        <f t="shared" si="27"/>
        <v>95</v>
      </c>
      <c r="BR17" s="116">
        <f>ROUND(AD17*Worksheet!$E$25,2)</f>
        <v>0</v>
      </c>
      <c r="BS17" s="116">
        <f>ROUND(SUM(BQ17)*Worksheet!$E$26,2)</f>
        <v>8.36</v>
      </c>
      <c r="BT17" s="116">
        <f>ROUND(Y17*Worksheet!$E$27,2)</f>
        <v>0</v>
      </c>
      <c r="BU17" s="116">
        <f>ROUND(AO17*Worksheet!$E$29,2)</f>
        <v>0</v>
      </c>
      <c r="BV17" s="116">
        <f>ROUND(AP17*Worksheet!$E$30,2)</f>
        <v>0</v>
      </c>
      <c r="BW17" s="116">
        <f>ROUND(IF($I17&lt;&gt;0,$BQ17*Worksheet!$E$28,0),2)</f>
        <v>0.19</v>
      </c>
      <c r="BX17" s="116">
        <f>ROUND(AE17*Worksheet!$E$31,2)</f>
        <v>0</v>
      </c>
      <c r="BY17" s="116">
        <f>ROUND(AF17*Worksheet!$E$32,2)</f>
        <v>0.28000000000000003</v>
      </c>
      <c r="BZ17" s="116">
        <f>ROUND(AG17*Worksheet!$E$33,2)</f>
        <v>0.14000000000000001</v>
      </c>
      <c r="CA17" s="116">
        <f>ROUND(ROUND(AH17*BQ17,2)*Worksheet!$E$34,2)</f>
        <v>0.18</v>
      </c>
      <c r="CB17" s="116">
        <f>ROUND(AI17*Worksheet!$E$35,2)</f>
        <v>0</v>
      </c>
      <c r="CC17" s="116">
        <f>ROUND(AJ17*Worksheet!$E$36,2)</f>
        <v>0</v>
      </c>
      <c r="CD17" s="116">
        <f>ROUND(AQ17*Worksheet!$E$38,2)</f>
        <v>0</v>
      </c>
      <c r="CE17" s="116">
        <f>ROUND(AR17*Worksheet!$E$39,2)</f>
        <v>0</v>
      </c>
      <c r="CF17" s="131">
        <f>IF(AND(L17&gt;275,SUM(Y17:AD17)&lt;100),ROUND(SUM(Y17:AD17)*Worksheet!$E$41,2),0)</f>
        <v>9.5</v>
      </c>
      <c r="CG17" s="116">
        <f>IF(AND(L17&gt;600,SUM(Y17:AD17)&lt;50),ROUND((50-SUM(Y17:AD17))*(Worksheet!$E$41+1),2),0)</f>
        <v>0</v>
      </c>
      <c r="CH17" s="116">
        <f t="shared" si="28"/>
        <v>113.65</v>
      </c>
      <c r="CI17" s="116">
        <f t="shared" si="43"/>
        <v>0</v>
      </c>
      <c r="CJ17" s="116">
        <f t="shared" si="44"/>
        <v>113.65</v>
      </c>
      <c r="CK17" s="95">
        <f t="shared" si="29"/>
        <v>1.4</v>
      </c>
      <c r="CL17" s="116">
        <f t="shared" si="45"/>
        <v>159.11000000000001</v>
      </c>
      <c r="CM17" s="116">
        <f t="shared" si="46"/>
        <v>159.11000000000001</v>
      </c>
      <c r="CN17" s="116">
        <f t="shared" si="30"/>
        <v>1850926.63</v>
      </c>
      <c r="CO17" s="131">
        <f>ROUND(IF(F17=4,0,(MAX(ROUND(MAX((BI17*MIN(CL17,K17)*Worksheet!$D$126)+MAX(CL17-K17,0)*Worksheet!$F$50,SUM(J17)),2),SUM(CN17))-SUM(CN17))*MinAdj),2)</f>
        <v>161683.72</v>
      </c>
      <c r="CP17" s="116">
        <f t="shared" si="31"/>
        <v>2012610.3499999999</v>
      </c>
      <c r="CQ17" s="131">
        <f>IF(CL17=0,0,-MIN(CP17,MIN(CP17,ROUND(IF(ROUND(IF(CL17=0,0,N17/CL17),2)&lt;STVPP*0.2,STVPP*0.2*CL17*Worksheet!$F$88/1000,N17*Worksheet!$F$88/1000),2))))</f>
        <v>-1360458.96</v>
      </c>
      <c r="CR17" s="131">
        <f>-MIN(SUM(CP17,CQ17),IF($P17=0,(ROUND(Worksheet!$E$77*S17,2)+ROUND(Worksheet!$E$78*T17,2)+ROUND(Worksheet!$E$79*U17,2)+ROUND(Worksheet!$E$80*V17,2)+ROUND(Worksheet!$E$81*W17,2)+ROUND(Worksheet!$E$82*X17,2)),(ROUND(ROUND(S17*ROUND((1-$O17/$P17),4),2)*Worksheet!$E$77,2)+ROUND(ROUND(T17*ROUND((1-$O17/$P17),4),2)*Worksheet!$E$78,2)+ROUND(ROUND(U17*ROUND((1-$O17/$P17),4),2)*Worksheet!$E$79,2)+ROUND(ROUND(V17*ROUND((1-$O17/$P17),4),2)*Worksheet!$E$80,2)+ROUND(ROUND(W17*ROUND((1-$O17/$P17),4),2)*Worksheet!$E$81,2)+ROUND(ROUND(X17*ROUND((1-$O17/$P17),4),2)*Worksheet!$E$82,2))))</f>
        <v>-652151.3899999999</v>
      </c>
      <c r="CS17" s="116">
        <f t="shared" si="32"/>
        <v>0</v>
      </c>
      <c r="CT17" s="116">
        <f>ROUND(MIN(BA17,ROUND((ROUND(AS17*Worksheet!$E$104,2)+ROUND(AV17*Worksheet!$E$107,2)+ROUND(AT17*Worksheet!$E$105,2)+ROUND(AW17*Worksheet!$E$108,2)+ROUND(AU17*Worksheet!$E$106,2)+ROUND(AX17*Worksheet!$E$109,2)+ROUND(AY17*Worksheet!$E$110,2)+ROUND(AZ17*Worksheet!$E$111,2))*Worksheet!$D$114,2))*BaseRate,2)</f>
        <v>300829.38</v>
      </c>
      <c r="CU17" s="121">
        <v>0</v>
      </c>
      <c r="CV17" s="121">
        <v>0</v>
      </c>
      <c r="CW17" s="121">
        <v>0</v>
      </c>
      <c r="CX17" s="121">
        <v>0</v>
      </c>
      <c r="CY17" s="121">
        <v>0</v>
      </c>
      <c r="DA17" s="116">
        <f t="shared" si="33"/>
        <v>0</v>
      </c>
      <c r="DB17" s="116">
        <f>MAX(-CT17,MIN(0,ROUND($R17*EFBPercent+EFBAdd,2)-$Q17),MIN(0,SUM($CS17:CS17)+MIN(0,ROUND($R17*EFBPercent+EFBAdd,2)-$Q17)))</f>
        <v>0</v>
      </c>
      <c r="DC17" s="192">
        <f>IF(CU17&lt;0,0,MAX(-CU17,MIN(0,ROUND($R17*EFBPercent+EFBAdd,2)-$Q17),MIN(0,SUM($CS17:CT17)+MIN(0,ROUND($R17*EFBPercent+EFBAdd,2)-$Q17))))</f>
        <v>0</v>
      </c>
      <c r="DD17" s="192">
        <f>IF(CV17&lt;0,0,MAX(-CV17,MIN(0,ROUND($R17*EFBPercent+EFBAdd,2)-$Q17),MIN(0,SUM($CS17:CU17)+MIN(0,ROUND($R17*EFBPercent+EFBAdd,2)-$Q17))))</f>
        <v>0</v>
      </c>
      <c r="DE17" s="192">
        <f>IF(CW17&lt;0,0,MAX(-CW17,MIN(0,ROUND($R17*EFBPercent+EFBAdd,2)-$Q17),MIN(0,SUM($CS17:CV17)+MIN(0,ROUND($R17*EFBPercent+EFBAdd,2)-$Q17))))</f>
        <v>0</v>
      </c>
      <c r="DF17" s="192">
        <f>IF(CX17&lt;0,0,MAX(-CX17,MIN(0,ROUND($R17*EFBPercent+EFBAdd,2)-$Q17),MIN(0,SUM($CS17:CW17)+MIN(0,ROUND($R17*EFBPercent+EFBAdd,2)-$Q17))))</f>
        <v>0</v>
      </c>
      <c r="DG17" s="116">
        <f>MAX(-CY17,MIN(0,ROUND($R17*EFBPercent+EFBAdd,2)-$Q17),MIN(0,SUM($CS17:CX17)+MIN(0,ROUND($R17*EFBPercent+EFBAdd,2)-$Q17)))</f>
        <v>0</v>
      </c>
      <c r="DI17" s="73">
        <f t="shared" si="34"/>
        <v>0</v>
      </c>
      <c r="DJ17" s="73">
        <f t="shared" si="35"/>
        <v>300829.38</v>
      </c>
      <c r="DK17" s="73">
        <f t="shared" si="36"/>
        <v>0</v>
      </c>
      <c r="DL17" s="73">
        <f t="shared" si="37"/>
        <v>0</v>
      </c>
      <c r="DM17" s="73">
        <f t="shared" si="38"/>
        <v>0</v>
      </c>
      <c r="DN17" s="73">
        <f t="shared" si="39"/>
        <v>0</v>
      </c>
      <c r="DO17" s="73">
        <f t="shared" si="40"/>
        <v>0</v>
      </c>
      <c r="DP17" s="73"/>
      <c r="DQ17" s="73"/>
    </row>
    <row r="18" spans="1:121" ht="10.199999999999999" x14ac:dyDescent="0.2">
      <c r="A18" s="4" t="s">
        <v>508</v>
      </c>
      <c r="B18" s="72">
        <v>1013</v>
      </c>
      <c r="C18" s="13" t="s">
        <v>34</v>
      </c>
      <c r="D18" s="4">
        <v>2027</v>
      </c>
      <c r="E18" s="4" t="s">
        <v>352</v>
      </c>
      <c r="F18" s="4">
        <v>1</v>
      </c>
      <c r="G18" s="4" t="s">
        <v>660</v>
      </c>
      <c r="H18" s="4">
        <v>100</v>
      </c>
      <c r="I18" s="4" t="s">
        <v>855</v>
      </c>
      <c r="J18" s="5">
        <v>7552868.2800000012</v>
      </c>
      <c r="K18" s="5">
        <v>751.89</v>
      </c>
      <c r="L18" s="5">
        <v>643.5</v>
      </c>
      <c r="M18" s="5">
        <v>0</v>
      </c>
      <c r="N18" s="5">
        <v>43948647</v>
      </c>
      <c r="O18" s="5">
        <v>12.57</v>
      </c>
      <c r="P18" s="5">
        <v>97.57</v>
      </c>
      <c r="Q18" s="5">
        <v>0</v>
      </c>
      <c r="R18" s="5">
        <v>0</v>
      </c>
      <c r="S18" s="5">
        <v>4700</v>
      </c>
      <c r="T18" s="5">
        <v>683167.87</v>
      </c>
      <c r="U18" s="5">
        <v>0</v>
      </c>
      <c r="V18" s="5">
        <v>22694.75</v>
      </c>
      <c r="W18" s="5">
        <v>7801.18</v>
      </c>
      <c r="X18" s="5">
        <v>39577.160000000003</v>
      </c>
      <c r="Y18" s="5">
        <v>5.8</v>
      </c>
      <c r="Z18" s="5">
        <v>54</v>
      </c>
      <c r="AA18" s="5">
        <v>283</v>
      </c>
      <c r="AB18" s="5">
        <v>111</v>
      </c>
      <c r="AC18" s="5">
        <v>204</v>
      </c>
      <c r="AD18" s="5">
        <v>0</v>
      </c>
      <c r="AE18" s="5">
        <v>2.73</v>
      </c>
      <c r="AF18" s="5">
        <v>0.84</v>
      </c>
      <c r="AG18" s="5">
        <v>0.86</v>
      </c>
      <c r="AH18" s="5">
        <v>0.31900000000000001</v>
      </c>
      <c r="AI18" s="5">
        <v>0</v>
      </c>
      <c r="AJ18" s="5">
        <v>0</v>
      </c>
      <c r="AK18" s="5">
        <v>0</v>
      </c>
      <c r="AL18" s="5">
        <v>663.33999999999992</v>
      </c>
      <c r="AM18" s="5">
        <v>0</v>
      </c>
      <c r="AN18" s="5">
        <v>652</v>
      </c>
      <c r="AO18" s="5">
        <f t="shared" si="41"/>
        <v>11.339999999999918</v>
      </c>
      <c r="AP18" s="5">
        <f t="shared" si="48"/>
        <v>0</v>
      </c>
      <c r="AQ18" s="5">
        <v>9.65</v>
      </c>
      <c r="AR18" s="5">
        <v>0.54</v>
      </c>
      <c r="AS18" s="5">
        <v>0</v>
      </c>
      <c r="AT18" s="5">
        <v>161928</v>
      </c>
      <c r="AU18" s="5">
        <v>0</v>
      </c>
      <c r="AV18" s="5">
        <v>5882</v>
      </c>
      <c r="AW18" s="5">
        <v>643.5</v>
      </c>
      <c r="AX18" s="5">
        <v>2</v>
      </c>
      <c r="AY18" s="199">
        <v>0</v>
      </c>
      <c r="AZ18" s="199">
        <v>0</v>
      </c>
      <c r="BA18" s="5">
        <v>681869.75</v>
      </c>
      <c r="BB18" s="13">
        <v>2385916.86</v>
      </c>
      <c r="BC18" s="101">
        <f>MAX(ROUND(IF(F18&lt;4,IF(H18=0,(SUM(Y18:AD18)*Worksheet!$E$26+Y18*Worksheet!$E$27+AR18*Worksheet!$E$39)*-BaseRate,0)),2),MIN(0,-DI18))</f>
        <v>0</v>
      </c>
      <c r="BD18" s="101">
        <f>MAX(ROUND(IF(F18=4,0,IF(I18=0,0,ROUND(SUM(Y18:AD18)*Worksheet!$E$28,2)*-BaseRate)),2),MIN(0,-DI18-BC18))</f>
        <v>-15355.56</v>
      </c>
      <c r="BE18" s="130">
        <f t="shared" si="23"/>
        <v>0</v>
      </c>
      <c r="BF18" s="130">
        <f t="shared" si="24"/>
        <v>1404</v>
      </c>
      <c r="BG18" s="73"/>
      <c r="BH18" s="118">
        <f t="shared" si="25"/>
        <v>58619.3</v>
      </c>
      <c r="BI18" s="118">
        <f t="shared" si="26"/>
        <v>10045.18</v>
      </c>
      <c r="BJ18" s="232">
        <f>IFERROR(ROUND(IF(AND(BB18*1.12&lt;N18*60/1000,N18/CL18&lt;STVPP*0.2),(CL18*STVPP*0.2*Worksheet!$F$88/1000-BB18*1.12)*PropTaxAdj,IF(BB18*1.12&lt;N18*60/1000,(N18*60/1000-BB18*1.12)*PropTaxAdj,0)),2),0)</f>
        <v>0</v>
      </c>
      <c r="BK18" s="116">
        <f>ROUND(IF($F18=4,0,Y18*Worksheet!$E$16),2)</f>
        <v>5.8</v>
      </c>
      <c r="BL18" s="116">
        <f>ROUND(IF($F18=4,0,Z18*Worksheet!$E$17),2)</f>
        <v>54</v>
      </c>
      <c r="BM18" s="116">
        <f>ROUND(IF($F18=4,0,AA18*Worksheet!$E$18),2)</f>
        <v>283</v>
      </c>
      <c r="BN18" s="116">
        <f>ROUND(IF($F18=4,0,AB18*Worksheet!$E$19),2)</f>
        <v>111</v>
      </c>
      <c r="BO18" s="116">
        <f>ROUND(IF($F18=4,0,AC18*Worksheet!$E$20),2)</f>
        <v>204</v>
      </c>
      <c r="BP18" s="116">
        <f>ROUND(AD18*Worksheet!$E$21,2)</f>
        <v>0</v>
      </c>
      <c r="BQ18" s="116">
        <f t="shared" si="27"/>
        <v>657.8</v>
      </c>
      <c r="BR18" s="116">
        <f>ROUND(AD18*Worksheet!$E$25,2)</f>
        <v>0</v>
      </c>
      <c r="BS18" s="116">
        <f>ROUND(SUM(BQ18)*Worksheet!$E$26,2)</f>
        <v>57.89</v>
      </c>
      <c r="BT18" s="116">
        <f>ROUND(Y18*Worksheet!$E$27,2)</f>
        <v>0.99</v>
      </c>
      <c r="BU18" s="116">
        <f>ROUND(AO18*Worksheet!$E$29,2)</f>
        <v>11.34</v>
      </c>
      <c r="BV18" s="116">
        <f>ROUND(AP18*Worksheet!$E$30,2)</f>
        <v>0</v>
      </c>
      <c r="BW18" s="116">
        <f>ROUND(IF($I18&lt;&gt;0,$BQ18*Worksheet!$E$28,0),2)</f>
        <v>1.32</v>
      </c>
      <c r="BX18" s="116">
        <f>ROUND(AE18*Worksheet!$E$31,2)</f>
        <v>1.0900000000000001</v>
      </c>
      <c r="BY18" s="116">
        <f>ROUND(AF18*Worksheet!$E$32,2)</f>
        <v>0.24</v>
      </c>
      <c r="BZ18" s="116">
        <f>ROUND(AG18*Worksheet!$E$33,2)</f>
        <v>0.06</v>
      </c>
      <c r="CA18" s="116">
        <f>ROUND(ROUND(AH18*BQ18,2)*Worksheet!$E$34,2)</f>
        <v>5.25</v>
      </c>
      <c r="CB18" s="116">
        <f>ROUND(AI18*Worksheet!$E$35,2)</f>
        <v>0</v>
      </c>
      <c r="CC18" s="116">
        <f>ROUND(AJ18*Worksheet!$E$36,2)</f>
        <v>0</v>
      </c>
      <c r="CD18" s="116">
        <f>ROUND(AQ18*Worksheet!$E$38,2)</f>
        <v>5.79</v>
      </c>
      <c r="CE18" s="116">
        <f>ROUND(AR18*Worksheet!$E$39,2)</f>
        <v>0.54</v>
      </c>
      <c r="CF18" s="116">
        <f>IF(AND(L18&gt;275,SUM(Y18:AD18)&lt;100),ROUND(SUM(Y18:AD18)*Worksheet!$E$41,2),0)</f>
        <v>0</v>
      </c>
      <c r="CG18" s="116">
        <f>IF(AND(L18&gt;600,SUM(Y18:AD18)&lt;50),ROUND((50-SUM(Y18:AD18))*(Worksheet!$E$41+1),2),0)</f>
        <v>0</v>
      </c>
      <c r="CH18" s="116">
        <f t="shared" si="28"/>
        <v>742.31</v>
      </c>
      <c r="CI18" s="116">
        <f t="shared" si="43"/>
        <v>0</v>
      </c>
      <c r="CJ18" s="116">
        <f t="shared" si="44"/>
        <v>742.31</v>
      </c>
      <c r="CK18" s="95">
        <f t="shared" si="29"/>
        <v>1.01</v>
      </c>
      <c r="CL18" s="116">
        <f t="shared" si="45"/>
        <v>749.73</v>
      </c>
      <c r="CM18" s="116">
        <f t="shared" si="46"/>
        <v>749.73</v>
      </c>
      <c r="CN18" s="116">
        <f t="shared" si="30"/>
        <v>8721609.0899999999</v>
      </c>
      <c r="CO18" s="131">
        <f>ROUND(IF(F18=4,0,(MAX(ROUND(MAX((BI18*MIN(CL18,K18)*Worksheet!$D$126)+MAX(CL18-K18,0)*Worksheet!$F$50,SUM(J18)),2),SUM(CN18))-SUM(CN18))*MinAdj),2)</f>
        <v>0</v>
      </c>
      <c r="CP18" s="116">
        <f t="shared" si="31"/>
        <v>8721609.0899999999</v>
      </c>
      <c r="CQ18" s="131">
        <f>IF(CL18=0,0,-MIN(CP18,MIN(CP18,ROUND(IF(ROUND(IF(CL18=0,0,N18/CL18),2)&lt;STVPP*0.2,STVPP*0.2*CL18*Worksheet!$F$88/1000,N18*Worksheet!$F$88/1000),2))))</f>
        <v>-2636918.8199999998</v>
      </c>
      <c r="CR18" s="131">
        <f>-MIN(SUM(CP18,CQ18),IF($P18=0,(ROUND(Worksheet!$E$77*S18,2)+ROUND(Worksheet!$E$78*T18,2)+ROUND(Worksheet!$E$79*U18,2)+ROUND(Worksheet!$E$80*V18,2)+ROUND(Worksheet!$E$81*W18,2)+ROUND(Worksheet!$E$82*X18,2)),(ROUND(ROUND(S18*ROUND((1-$O18/$P18),4),2)*Worksheet!$E$77,2)+ROUND(ROUND(T18*ROUND((1-$O18/$P18),4),2)*Worksheet!$E$78,2)+ROUND(ROUND(U18*ROUND((1-$O18/$P18),4),2)*Worksheet!$E$79,2)+ROUND(ROUND(V18*ROUND((1-$O18/$P18),4),2)*Worksheet!$E$80,2)+ROUND(ROUND(W18*ROUND((1-$O18/$P18),4),2)*Worksheet!$E$81,2)+ROUND(ROUND(X18*ROUND((1-$O18/$P18),4),2)*Worksheet!$E$82,2))))</f>
        <v>-495238.63</v>
      </c>
      <c r="CS18" s="116">
        <f t="shared" si="32"/>
        <v>5589451.6399999997</v>
      </c>
      <c r="CT18" s="116">
        <f>ROUND(MIN(BA18,ROUND((ROUND(AS18*Worksheet!$E$104,2)+ROUND(AV18*Worksheet!$E$107,2)+ROUND(AT18*Worksheet!$E$105,2)+ROUND(AW18*Worksheet!$E$108,2)+ROUND(AU18*Worksheet!$E$106,2)+ROUND(AX18*Worksheet!$E$109,2)+ROUND(AY18*Worksheet!$E$110,2)+ROUND(AZ18*Worksheet!$E$111,2))*Worksheet!$D$114,2))*BaseRate,2)</f>
        <v>263254.78999999998</v>
      </c>
      <c r="CU18" s="121">
        <v>0</v>
      </c>
      <c r="CV18" s="121">
        <v>0</v>
      </c>
      <c r="CW18" s="121">
        <v>0</v>
      </c>
      <c r="CX18" s="121">
        <v>0</v>
      </c>
      <c r="CY18" s="121">
        <v>0</v>
      </c>
      <c r="DA18" s="116">
        <f t="shared" si="33"/>
        <v>0</v>
      </c>
      <c r="DB18" s="116">
        <f>MAX(-CT18,MIN(0,ROUND($R18*EFBPercent+EFBAdd,2)-$Q18),MIN(0,SUM($CS18:CS18)+MIN(0,ROUND($R18*EFBPercent+EFBAdd,2)-$Q18)))</f>
        <v>0</v>
      </c>
      <c r="DC18" s="192">
        <f>IF(CU18&lt;0,0,MAX(-CU18,MIN(0,ROUND($R18*EFBPercent+EFBAdd,2)-$Q18),MIN(0,SUM($CS18:CT18)+MIN(0,ROUND($R18*EFBPercent+EFBAdd,2)-$Q18))))</f>
        <v>0</v>
      </c>
      <c r="DD18" s="192">
        <f>IF(CV18&lt;0,0,MAX(-CV18,MIN(0,ROUND($R18*EFBPercent+EFBAdd,2)-$Q18),MIN(0,SUM($CS18:CU18)+MIN(0,ROUND($R18*EFBPercent+EFBAdd,2)-$Q18))))</f>
        <v>0</v>
      </c>
      <c r="DE18" s="192">
        <f>IF(CW18&lt;0,0,MAX(-CW18,MIN(0,ROUND($R18*EFBPercent+EFBAdd,2)-$Q18),MIN(0,SUM($CS18:CV18)+MIN(0,ROUND($R18*EFBPercent+EFBAdd,2)-$Q18))))</f>
        <v>0</v>
      </c>
      <c r="DF18" s="192">
        <f>IF(CX18&lt;0,0,MAX(-CX18,MIN(0,ROUND($R18*EFBPercent+EFBAdd,2)-$Q18),MIN(0,SUM($CS18:CW18)+MIN(0,ROUND($R18*EFBPercent+EFBAdd,2)-$Q18))))</f>
        <v>0</v>
      </c>
      <c r="DG18" s="116">
        <f>MAX(-CY18,MIN(0,ROUND($R18*EFBPercent+EFBAdd,2)-$Q18),MIN(0,SUM($CS18:CX18)+MIN(0,ROUND($R18*EFBPercent+EFBAdd,2)-$Q18)))</f>
        <v>0</v>
      </c>
      <c r="DI18" s="73">
        <f t="shared" si="34"/>
        <v>5589451.6399999997</v>
      </c>
      <c r="DJ18" s="73">
        <f t="shared" si="35"/>
        <v>263254.78999999998</v>
      </c>
      <c r="DK18" s="73">
        <f t="shared" si="36"/>
        <v>0</v>
      </c>
      <c r="DL18" s="73">
        <f t="shared" si="37"/>
        <v>0</v>
      </c>
      <c r="DM18" s="73">
        <f t="shared" si="38"/>
        <v>0</v>
      </c>
      <c r="DN18" s="73">
        <f t="shared" si="39"/>
        <v>0</v>
      </c>
      <c r="DO18" s="73">
        <f t="shared" si="40"/>
        <v>0</v>
      </c>
      <c r="DP18" s="73"/>
      <c r="DQ18" s="73"/>
    </row>
    <row r="19" spans="1:121" ht="10.199999999999999" x14ac:dyDescent="0.2">
      <c r="A19" s="4" t="s">
        <v>509</v>
      </c>
      <c r="B19" s="72">
        <v>1171</v>
      </c>
      <c r="C19" s="13" t="s">
        <v>35</v>
      </c>
      <c r="D19" s="4">
        <v>2027</v>
      </c>
      <c r="E19" s="4" t="s">
        <v>353</v>
      </c>
      <c r="F19" s="4">
        <v>1</v>
      </c>
      <c r="G19" s="4" t="s">
        <v>660</v>
      </c>
      <c r="H19" s="4">
        <v>100</v>
      </c>
      <c r="I19" s="4" t="s">
        <v>855</v>
      </c>
      <c r="J19" s="5">
        <v>1907710.82</v>
      </c>
      <c r="K19" s="5">
        <v>177.63</v>
      </c>
      <c r="L19" s="5">
        <v>345.81</v>
      </c>
      <c r="M19" s="5">
        <v>0</v>
      </c>
      <c r="N19" s="5">
        <v>0</v>
      </c>
      <c r="O19" s="5">
        <v>16.920000000000002</v>
      </c>
      <c r="P19" s="5">
        <v>112.71000000000001</v>
      </c>
      <c r="Q19" s="5">
        <v>0</v>
      </c>
      <c r="R19" s="5">
        <v>0</v>
      </c>
      <c r="S19" s="5">
        <v>0</v>
      </c>
      <c r="T19" s="5">
        <v>166788</v>
      </c>
      <c r="U19" s="5">
        <v>0</v>
      </c>
      <c r="V19" s="5">
        <v>9480.58</v>
      </c>
      <c r="W19" s="5">
        <v>4033.65</v>
      </c>
      <c r="X19" s="5">
        <v>12685.57</v>
      </c>
      <c r="Y19" s="5">
        <v>0</v>
      </c>
      <c r="Z19" s="5">
        <v>9</v>
      </c>
      <c r="AA19" s="5">
        <v>61</v>
      </c>
      <c r="AB19" s="5">
        <v>24</v>
      </c>
      <c r="AC19" s="5">
        <v>51</v>
      </c>
      <c r="AD19" s="5">
        <v>0</v>
      </c>
      <c r="AE19" s="5">
        <v>0</v>
      </c>
      <c r="AF19" s="5">
        <v>0</v>
      </c>
      <c r="AG19" s="5">
        <v>0</v>
      </c>
      <c r="AH19" s="5">
        <v>0.36099999999999999</v>
      </c>
      <c r="AI19" s="5">
        <v>0</v>
      </c>
      <c r="AJ19" s="5">
        <v>0</v>
      </c>
      <c r="AK19" s="5">
        <v>0</v>
      </c>
      <c r="AL19" s="5">
        <v>147.79</v>
      </c>
      <c r="AM19" s="5">
        <v>0</v>
      </c>
      <c r="AN19" s="5">
        <v>145</v>
      </c>
      <c r="AO19" s="5">
        <f t="shared" si="41"/>
        <v>2.789999999999992</v>
      </c>
      <c r="AP19" s="5">
        <f t="shared" si="48"/>
        <v>0</v>
      </c>
      <c r="AQ19" s="5">
        <v>1.02</v>
      </c>
      <c r="AR19" s="5">
        <v>0.04</v>
      </c>
      <c r="AS19" s="5">
        <v>0</v>
      </c>
      <c r="AT19" s="5">
        <v>101150</v>
      </c>
      <c r="AU19" s="5">
        <v>0</v>
      </c>
      <c r="AV19" s="5">
        <v>1050</v>
      </c>
      <c r="AW19" s="5">
        <v>345.81</v>
      </c>
      <c r="AX19" s="5">
        <v>1</v>
      </c>
      <c r="AY19" s="199">
        <v>0</v>
      </c>
      <c r="AZ19" s="199">
        <v>0</v>
      </c>
      <c r="BA19" s="5">
        <v>343550.89</v>
      </c>
      <c r="BB19" s="13">
        <v>568470.78</v>
      </c>
      <c r="BC19" s="101">
        <f>MAX(ROUND(IF(F19&lt;4,IF(H19=0,(SUM(Y19:AD19)*Worksheet!$E$26+Y19*Worksheet!$E$27+AR19*Worksheet!$E$39)*-BaseRate,0)),2),MIN(0,-DI19))</f>
        <v>0</v>
      </c>
      <c r="BD19" s="101">
        <f>MAX(ROUND(IF(F19=4,0,IF(I19=0,0,ROUND(SUM(Y19:AD19)*Worksheet!$E$28,2)*-BaseRate)),2),MIN(0,-DI19-BC19))</f>
        <v>-3373.57</v>
      </c>
      <c r="BE19" s="130">
        <f t="shared" si="23"/>
        <v>0</v>
      </c>
      <c r="BF19" s="130">
        <f t="shared" si="24"/>
        <v>1404</v>
      </c>
      <c r="BG19" s="73"/>
      <c r="BH19" s="118">
        <f t="shared" si="25"/>
        <v>9224.7999999999993</v>
      </c>
      <c r="BI19" s="118">
        <f t="shared" si="26"/>
        <v>10739.8</v>
      </c>
      <c r="BJ19" s="232">
        <f>IFERROR(ROUND(IF(AND(BB19*1.12&lt;N19*60/1000,N19/CL19&lt;STVPP*0.2),(CL19*STVPP*0.2*Worksheet!$F$88/1000-BB19*1.12)*PropTaxAdj,IF(BB19*1.12&lt;N19*60/1000,(N19*60/1000-BB19*1.12)*PropTaxAdj,0)),2),0)</f>
        <v>0</v>
      </c>
      <c r="BK19" s="116">
        <f>ROUND(IF($F19=4,0,Y19*Worksheet!$E$16),2)</f>
        <v>0</v>
      </c>
      <c r="BL19" s="116">
        <f>ROUND(IF($F19=4,0,Z19*Worksheet!$E$17),2)</f>
        <v>9</v>
      </c>
      <c r="BM19" s="116">
        <f>ROUND(IF($F19=4,0,AA19*Worksheet!$E$18),2)</f>
        <v>61</v>
      </c>
      <c r="BN19" s="116">
        <f>ROUND(IF($F19=4,0,AB19*Worksheet!$E$19),2)</f>
        <v>24</v>
      </c>
      <c r="BO19" s="116">
        <f>ROUND(IF($F19=4,0,AC19*Worksheet!$E$20),2)</f>
        <v>51</v>
      </c>
      <c r="BP19" s="116">
        <f>ROUND(AD19*Worksheet!$E$21,2)</f>
        <v>0</v>
      </c>
      <c r="BQ19" s="116">
        <f t="shared" si="27"/>
        <v>145</v>
      </c>
      <c r="BR19" s="116">
        <f>ROUND(AD19*Worksheet!$E$25,2)</f>
        <v>0</v>
      </c>
      <c r="BS19" s="116">
        <f>ROUND(SUM(BQ19)*Worksheet!$E$26,2)</f>
        <v>12.76</v>
      </c>
      <c r="BT19" s="116">
        <f>ROUND(Y19*Worksheet!$E$27,2)</f>
        <v>0</v>
      </c>
      <c r="BU19" s="116">
        <f>ROUND(AO19*Worksheet!$E$29,2)</f>
        <v>2.79</v>
      </c>
      <c r="BV19" s="116">
        <f>ROUND(AP19*Worksheet!$E$30,2)</f>
        <v>0</v>
      </c>
      <c r="BW19" s="116">
        <f>ROUND(IF($I19&lt;&gt;0,$BQ19*Worksheet!$E$28,0),2)</f>
        <v>0.28999999999999998</v>
      </c>
      <c r="BX19" s="116">
        <f>ROUND(AE19*Worksheet!$E$31,2)</f>
        <v>0</v>
      </c>
      <c r="BY19" s="116">
        <f>ROUND(AF19*Worksheet!$E$32,2)</f>
        <v>0</v>
      </c>
      <c r="BZ19" s="116">
        <f>ROUND(AG19*Worksheet!$E$33,2)</f>
        <v>0</v>
      </c>
      <c r="CA19" s="116">
        <f>ROUND(ROUND(AH19*BQ19,2)*Worksheet!$E$34,2)</f>
        <v>1.31</v>
      </c>
      <c r="CB19" s="116">
        <f>ROUND(AI19*Worksheet!$E$35,2)</f>
        <v>0</v>
      </c>
      <c r="CC19" s="116">
        <f>ROUND(AJ19*Worksheet!$E$36,2)</f>
        <v>0</v>
      </c>
      <c r="CD19" s="116">
        <f>ROUND(AQ19*Worksheet!$E$38,2)</f>
        <v>0.61</v>
      </c>
      <c r="CE19" s="116">
        <f>ROUND(AR19*Worksheet!$E$39,2)</f>
        <v>0.04</v>
      </c>
      <c r="CF19" s="116">
        <f>IF(AND(L19&gt;275,SUM(Y19:AD19)&lt;100),ROUND(SUM(Y19:AD19)*Worksheet!$E$41,2),0)</f>
        <v>0</v>
      </c>
      <c r="CG19" s="116">
        <f>IF(AND(L19&gt;600,SUM(Y19:AD19)&lt;50),ROUND((50-SUM(Y19:AD19))*(Worksheet!$E$41+1),2),0)</f>
        <v>0</v>
      </c>
      <c r="CH19" s="116">
        <f t="shared" si="28"/>
        <v>162.79999999999998</v>
      </c>
      <c r="CI19" s="116">
        <f t="shared" si="43"/>
        <v>0</v>
      </c>
      <c r="CJ19" s="116">
        <f t="shared" si="44"/>
        <v>162.79999999999998</v>
      </c>
      <c r="CK19" s="95">
        <f t="shared" si="29"/>
        <v>1.4899</v>
      </c>
      <c r="CL19" s="116">
        <f t="shared" si="45"/>
        <v>242.56</v>
      </c>
      <c r="CM19" s="116">
        <f t="shared" si="46"/>
        <v>242.56</v>
      </c>
      <c r="CN19" s="116">
        <f t="shared" si="30"/>
        <v>2821700.48</v>
      </c>
      <c r="CO19" s="131">
        <f>ROUND(IF(F19=4,0,(MAX(ROUND(MAX((BI19*MIN(CL19,K19)*Worksheet!$D$126)+MAX(CL19-K19,0)*Worksheet!$F$50,SUM(J19)),2),SUM(CN19))-SUM(CN19))*MinAdj),2)</f>
        <v>0</v>
      </c>
      <c r="CP19" s="116">
        <f t="shared" si="31"/>
        <v>2821700.48</v>
      </c>
      <c r="CQ19" s="131">
        <f>IF(CL19=0,0,-MIN(CP19,MIN(CP19,ROUND(IF(ROUND(IF(CL19=0,0,N19/CL19),2)&lt;STVPP*0.2,STVPP*0.2*CL19*Worksheet!$F$88/1000,N19*Worksheet!$F$88/1000),2))))</f>
        <v>-134254.04999999999</v>
      </c>
      <c r="CR19" s="131">
        <f>-MIN(SUM(CP19,CQ19),IF($P19=0,(ROUND(Worksheet!$E$77*S19,2)+ROUND(Worksheet!$E$78*T19,2)+ROUND(Worksheet!$E$79*U19,2)+ROUND(Worksheet!$E$80*V19,2)+ROUND(Worksheet!$E$81*W19,2)+ROUND(Worksheet!$E$82*X19,2)),(ROUND(ROUND(S19*ROUND((1-$O19/$P19),4),2)*Worksheet!$E$77,2)+ROUND(ROUND(T19*ROUND((1-$O19/$P19),4),2)*Worksheet!$E$78,2)+ROUND(ROUND(U19*ROUND((1-$O19/$P19),4),2)*Worksheet!$E$79,2)+ROUND(ROUND(V19*ROUND((1-$O19/$P19),4),2)*Worksheet!$E$80,2)+ROUND(ROUND(W19*ROUND((1-$O19/$P19),4),2)*Worksheet!$E$81,2)+ROUND(ROUND(X19*ROUND((1-$O19/$P19),4),2)*Worksheet!$E$82,2))))</f>
        <v>-123015.25</v>
      </c>
      <c r="CS19" s="116">
        <f t="shared" si="32"/>
        <v>2564431.1800000002</v>
      </c>
      <c r="CT19" s="116">
        <f>ROUND(MIN(BA19,ROUND((ROUND(AS19*Worksheet!$E$104,2)+ROUND(AV19*Worksheet!$E$107,2)+ROUND(AT19*Worksheet!$E$105,2)+ROUND(AW19*Worksheet!$E$108,2)+ROUND(AU19*Worksheet!$E$106,2)+ROUND(AX19*Worksheet!$E$109,2)+ROUND(AY19*Worksheet!$E$110,2)+ROUND(AZ19*Worksheet!$E$111,2))*Worksheet!$D$114,2))*BaseRate,2)</f>
        <v>135408.12</v>
      </c>
      <c r="CU19" s="121">
        <v>0</v>
      </c>
      <c r="CV19" s="121">
        <v>0</v>
      </c>
      <c r="CW19" s="121">
        <v>0</v>
      </c>
      <c r="CX19" s="121">
        <v>0</v>
      </c>
      <c r="CY19" s="121">
        <v>0</v>
      </c>
      <c r="DA19" s="116">
        <f t="shared" si="33"/>
        <v>0</v>
      </c>
      <c r="DB19" s="116">
        <f>MAX(-CT19,MIN(0,ROUND($R19*EFBPercent+EFBAdd,2)-$Q19),MIN(0,SUM($CS19:CS19)+MIN(0,ROUND($R19*EFBPercent+EFBAdd,2)-$Q19)))</f>
        <v>0</v>
      </c>
      <c r="DC19" s="192">
        <f>IF(CU19&lt;0,0,MAX(-CU19,MIN(0,ROUND($R19*EFBPercent+EFBAdd,2)-$Q19),MIN(0,SUM($CS19:CT19)+MIN(0,ROUND($R19*EFBPercent+EFBAdd,2)-$Q19))))</f>
        <v>0</v>
      </c>
      <c r="DD19" s="192">
        <f>IF(CV19&lt;0,0,MAX(-CV19,MIN(0,ROUND($R19*EFBPercent+EFBAdd,2)-$Q19),MIN(0,SUM($CS19:CU19)+MIN(0,ROUND($R19*EFBPercent+EFBAdd,2)-$Q19))))</f>
        <v>0</v>
      </c>
      <c r="DE19" s="192">
        <f>IF(CW19&lt;0,0,MAX(-CW19,MIN(0,ROUND($R19*EFBPercent+EFBAdd,2)-$Q19),MIN(0,SUM($CS19:CV19)+MIN(0,ROUND($R19*EFBPercent+EFBAdd,2)-$Q19))))</f>
        <v>0</v>
      </c>
      <c r="DF19" s="192">
        <f>IF(CX19&lt;0,0,MAX(-CX19,MIN(0,ROUND($R19*EFBPercent+EFBAdd,2)-$Q19),MIN(0,SUM($CS19:CW19)+MIN(0,ROUND($R19*EFBPercent+EFBAdd,2)-$Q19))))</f>
        <v>0</v>
      </c>
      <c r="DG19" s="116">
        <f>MAX(-CY19,MIN(0,ROUND($R19*EFBPercent+EFBAdd,2)-$Q19),MIN(0,SUM($CS19:CX19)+MIN(0,ROUND($R19*EFBPercent+EFBAdd,2)-$Q19)))</f>
        <v>0</v>
      </c>
      <c r="DI19" s="73">
        <f t="shared" si="34"/>
        <v>2564431.1800000002</v>
      </c>
      <c r="DJ19" s="73">
        <f t="shared" si="35"/>
        <v>135408.12</v>
      </c>
      <c r="DK19" s="73">
        <f t="shared" si="36"/>
        <v>0</v>
      </c>
      <c r="DL19" s="73">
        <f t="shared" si="37"/>
        <v>0</v>
      </c>
      <c r="DM19" s="73">
        <f t="shared" si="38"/>
        <v>0</v>
      </c>
      <c r="DN19" s="73">
        <f t="shared" si="39"/>
        <v>0</v>
      </c>
      <c r="DO19" s="73">
        <f t="shared" si="40"/>
        <v>0</v>
      </c>
      <c r="DP19" s="73"/>
      <c r="DQ19" s="73"/>
    </row>
    <row r="20" spans="1:121" ht="10.199999999999999" x14ac:dyDescent="0.2">
      <c r="A20" s="4" t="s">
        <v>510</v>
      </c>
      <c r="B20" s="72">
        <v>1122</v>
      </c>
      <c r="C20" s="13" t="s">
        <v>36</v>
      </c>
      <c r="D20" s="4">
        <v>2027</v>
      </c>
      <c r="E20" s="4" t="s">
        <v>354</v>
      </c>
      <c r="F20" s="4">
        <v>1</v>
      </c>
      <c r="G20" s="4" t="s">
        <v>660</v>
      </c>
      <c r="H20" s="4">
        <v>100</v>
      </c>
      <c r="I20" s="4" t="s">
        <v>855</v>
      </c>
      <c r="J20" s="5">
        <v>2096120.2799999998</v>
      </c>
      <c r="K20" s="5">
        <v>124.74</v>
      </c>
      <c r="L20" s="5">
        <v>382.98</v>
      </c>
      <c r="M20" s="5">
        <v>0</v>
      </c>
      <c r="N20" s="5">
        <v>11050157</v>
      </c>
      <c r="O20" s="5">
        <v>0</v>
      </c>
      <c r="P20" s="5">
        <v>104.00000000000001</v>
      </c>
      <c r="Q20" s="5">
        <v>0</v>
      </c>
      <c r="R20" s="5">
        <v>0</v>
      </c>
      <c r="S20" s="5">
        <v>0</v>
      </c>
      <c r="T20" s="5">
        <v>60844.719999999994</v>
      </c>
      <c r="U20" s="5">
        <v>0</v>
      </c>
      <c r="V20" s="5">
        <v>13815.48</v>
      </c>
      <c r="W20" s="5">
        <v>262.33</v>
      </c>
      <c r="X20" s="5">
        <v>10664.99</v>
      </c>
      <c r="Y20" s="5">
        <v>0.04</v>
      </c>
      <c r="Z20" s="5">
        <v>7</v>
      </c>
      <c r="AA20" s="5">
        <v>37</v>
      </c>
      <c r="AB20" s="5">
        <v>13</v>
      </c>
      <c r="AC20" s="5">
        <v>18</v>
      </c>
      <c r="AD20" s="5">
        <v>0</v>
      </c>
      <c r="AE20" s="5">
        <v>0</v>
      </c>
      <c r="AF20" s="5">
        <v>0</v>
      </c>
      <c r="AG20" s="5">
        <v>0</v>
      </c>
      <c r="AH20" s="5">
        <v>0.434</v>
      </c>
      <c r="AI20" s="5">
        <v>0</v>
      </c>
      <c r="AJ20" s="5">
        <v>0</v>
      </c>
      <c r="AK20" s="5">
        <v>0</v>
      </c>
      <c r="AL20" s="5">
        <v>75.86</v>
      </c>
      <c r="AM20" s="5">
        <v>0</v>
      </c>
      <c r="AN20" s="5">
        <v>75</v>
      </c>
      <c r="AO20" s="5">
        <f t="shared" si="41"/>
        <v>0.85999999999999943</v>
      </c>
      <c r="AP20" s="5">
        <f t="shared" si="48"/>
        <v>0</v>
      </c>
      <c r="AQ20" s="5">
        <v>0</v>
      </c>
      <c r="AR20" s="5">
        <v>0</v>
      </c>
      <c r="AS20" s="5">
        <v>0</v>
      </c>
      <c r="AT20" s="5">
        <v>51800</v>
      </c>
      <c r="AU20" s="5">
        <v>0</v>
      </c>
      <c r="AV20" s="5">
        <v>1050</v>
      </c>
      <c r="AW20" s="5">
        <v>382.98</v>
      </c>
      <c r="AX20" s="5">
        <v>1</v>
      </c>
      <c r="AY20" s="199">
        <v>0</v>
      </c>
      <c r="AZ20" s="199">
        <v>0</v>
      </c>
      <c r="BA20" s="5">
        <v>206038.79</v>
      </c>
      <c r="BB20" s="13">
        <v>655730.88</v>
      </c>
      <c r="BC20" s="101">
        <f>MAX(ROUND(IF(F20&lt;4,IF(H20=0,(SUM(Y20:AD20)*Worksheet!$E$26+Y20*Worksheet!$E$27+AR20*Worksheet!$E$39)*-BaseRate,0)),2),MIN(0,-DI20))</f>
        <v>0</v>
      </c>
      <c r="BD20" s="101">
        <f>MAX(ROUND(IF(F20=4,0,IF(I20=0,0,ROUND(SUM(Y20:AD20)*Worksheet!$E$28,2)*-BaseRate)),2),MIN(0,-DI20-BC20))</f>
        <v>-1744.95</v>
      </c>
      <c r="BE20" s="130">
        <f t="shared" si="23"/>
        <v>0</v>
      </c>
      <c r="BF20" s="130">
        <f t="shared" si="24"/>
        <v>1404</v>
      </c>
      <c r="BG20" s="73"/>
      <c r="BH20" s="118">
        <f t="shared" si="25"/>
        <v>72736.679999999993</v>
      </c>
      <c r="BI20" s="118">
        <f t="shared" si="26"/>
        <v>16803.91</v>
      </c>
      <c r="BJ20" s="232">
        <f>IFERROR(ROUND(IF(AND(BB20*1.12&lt;N20*60/1000,N20/CL20&lt;STVPP*0.2),(CL20*STVPP*0.2*Worksheet!$F$88/1000-BB20*1.12)*PropTaxAdj,IF(BB20*1.12&lt;N20*60/1000,(N20*60/1000-BB20*1.12)*PropTaxAdj,0)),2),0)</f>
        <v>0</v>
      </c>
      <c r="BK20" s="116">
        <f>ROUND(IF($F20=4,0,Y20*Worksheet!$E$16),2)</f>
        <v>0.04</v>
      </c>
      <c r="BL20" s="116">
        <f>ROUND(IF($F20=4,0,Z20*Worksheet!$E$17),2)</f>
        <v>7</v>
      </c>
      <c r="BM20" s="116">
        <f>ROUND(IF($F20=4,0,AA20*Worksheet!$E$18),2)</f>
        <v>37</v>
      </c>
      <c r="BN20" s="116">
        <f>ROUND(IF($F20=4,0,AB20*Worksheet!$E$19),2)</f>
        <v>13</v>
      </c>
      <c r="BO20" s="116">
        <f>ROUND(IF($F20=4,0,AC20*Worksheet!$E$20),2)</f>
        <v>18</v>
      </c>
      <c r="BP20" s="116">
        <f>ROUND(AD20*Worksheet!$E$21,2)</f>
        <v>0</v>
      </c>
      <c r="BQ20" s="116">
        <f t="shared" si="27"/>
        <v>75.039999999999992</v>
      </c>
      <c r="BR20" s="116">
        <f>ROUND(AD20*Worksheet!$E$25,2)</f>
        <v>0</v>
      </c>
      <c r="BS20" s="116">
        <f>ROUND(SUM(BQ20)*Worksheet!$E$26,2)</f>
        <v>6.6</v>
      </c>
      <c r="BT20" s="116">
        <f>ROUND(Y20*Worksheet!$E$27,2)</f>
        <v>0.01</v>
      </c>
      <c r="BU20" s="116">
        <f>ROUND(AO20*Worksheet!$E$29,2)</f>
        <v>0.86</v>
      </c>
      <c r="BV20" s="116">
        <f>ROUND(AP20*Worksheet!$E$30,2)</f>
        <v>0</v>
      </c>
      <c r="BW20" s="116">
        <f>ROUND(IF($I20&lt;&gt;0,$BQ20*Worksheet!$E$28,0),2)</f>
        <v>0.15</v>
      </c>
      <c r="BX20" s="116">
        <f>ROUND(AE20*Worksheet!$E$31,2)</f>
        <v>0</v>
      </c>
      <c r="BY20" s="116">
        <f>ROUND(AF20*Worksheet!$E$32,2)</f>
        <v>0</v>
      </c>
      <c r="BZ20" s="116">
        <f>ROUND(AG20*Worksheet!$E$33,2)</f>
        <v>0</v>
      </c>
      <c r="CA20" s="116">
        <f>ROUND(ROUND(AH20*BQ20,2)*Worksheet!$E$34,2)</f>
        <v>0.81</v>
      </c>
      <c r="CB20" s="116">
        <f>ROUND(AI20*Worksheet!$E$35,2)</f>
        <v>0</v>
      </c>
      <c r="CC20" s="116">
        <f>ROUND(AJ20*Worksheet!$E$36,2)</f>
        <v>0</v>
      </c>
      <c r="CD20" s="116">
        <f>ROUND(AQ20*Worksheet!$E$38,2)</f>
        <v>0</v>
      </c>
      <c r="CE20" s="116">
        <f>ROUND(AR20*Worksheet!$E$39,2)</f>
        <v>0</v>
      </c>
      <c r="CF20" s="116">
        <f>IF(AND(L20&gt;275,SUM(Y20:AD20)&lt;100),ROUND(SUM(Y20:AD20)*Worksheet!$E$41,2),0)</f>
        <v>7.5</v>
      </c>
      <c r="CG20" s="116">
        <f>IF(AND(L20&gt;600,SUM(Y20:AD20)&lt;50),ROUND((50-SUM(Y20:AD20))*(Worksheet!$E$41+1),2),0)</f>
        <v>0</v>
      </c>
      <c r="CH20" s="116">
        <f t="shared" si="28"/>
        <v>90.97</v>
      </c>
      <c r="CI20" s="116">
        <f t="shared" si="43"/>
        <v>0</v>
      </c>
      <c r="CJ20" s="116">
        <f t="shared" si="44"/>
        <v>90.97</v>
      </c>
      <c r="CK20" s="95">
        <f t="shared" si="29"/>
        <v>1.67</v>
      </c>
      <c r="CL20" s="116">
        <f t="shared" si="45"/>
        <v>151.91999999999999</v>
      </c>
      <c r="CM20" s="116">
        <f t="shared" si="46"/>
        <v>151.91999999999999</v>
      </c>
      <c r="CN20" s="116">
        <f t="shared" si="30"/>
        <v>1767285.36</v>
      </c>
      <c r="CO20" s="131">
        <f>ROUND(IF(F20=4,0,(MAX(ROUND(MAX((BI20*MIN(CL20,K20)*Worksheet!$D$126)+MAX(CL20-K20,0)*Worksheet!$F$50,SUM(J20)),2),SUM(CN20))-SUM(CN20))*MinAdj),2)</f>
        <v>103041.26</v>
      </c>
      <c r="CP20" s="116">
        <f t="shared" si="31"/>
        <v>1870326.62</v>
      </c>
      <c r="CQ20" s="131">
        <f>IF(CL20=0,0,-MIN(CP20,MIN(CP20,ROUND(IF(ROUND(IF(CL20=0,0,N20/CL20),2)&lt;STVPP*0.2,STVPP*0.2*CL20*Worksheet!$F$88/1000,N20*Worksheet!$F$88/1000),2))))</f>
        <v>-663009.42000000004</v>
      </c>
      <c r="CR20" s="131">
        <f>-MIN(SUM(CP20,CQ20),IF($P20=0,(ROUND(Worksheet!$E$77*S20,2)+ROUND(Worksheet!$E$78*T20,2)+ROUND(Worksheet!$E$79*U20,2)+ROUND(Worksheet!$E$80*V20,2)+ROUND(Worksheet!$E$81*W20,2)+ROUND(Worksheet!$E$82*X20,2)),(ROUND(ROUND(S20*ROUND((1-$O20/$P20),4),2)*Worksheet!$E$77,2)+ROUND(ROUND(T20*ROUND((1-$O20/$P20),4),2)*Worksheet!$E$78,2)+ROUND(ROUND(U20*ROUND((1-$O20/$P20),4),2)*Worksheet!$E$79,2)+ROUND(ROUND(V20*ROUND((1-$O20/$P20),4),2)*Worksheet!$E$80,2)+ROUND(ROUND(W20*ROUND((1-$O20/$P20),4),2)*Worksheet!$E$81,2)+ROUND(ROUND(X20*ROUND((1-$O20/$P20),4),2)*Worksheet!$E$82,2))))</f>
        <v>-64190.64</v>
      </c>
      <c r="CS20" s="116">
        <f t="shared" si="32"/>
        <v>1143126.5600000003</v>
      </c>
      <c r="CT20" s="116">
        <f>ROUND(MIN(BA20,ROUND((ROUND(AS20*Worksheet!$E$104,2)+ROUND(AV20*Worksheet!$E$107,2)+ROUND(AT20*Worksheet!$E$105,2)+ROUND(AW20*Worksheet!$E$108,2)+ROUND(AU20*Worksheet!$E$106,2)+ROUND(AX20*Worksheet!$E$109,2)+ROUND(AY20*Worksheet!$E$110,2)+ROUND(AZ20*Worksheet!$E$111,2))*Worksheet!$D$114,2))*BaseRate,2)</f>
        <v>78406.42</v>
      </c>
      <c r="CU20" s="121">
        <v>0</v>
      </c>
      <c r="CV20" s="121">
        <v>0</v>
      </c>
      <c r="CW20" s="121">
        <v>0</v>
      </c>
      <c r="CX20" s="121">
        <v>0</v>
      </c>
      <c r="CY20" s="121">
        <v>0</v>
      </c>
      <c r="DA20" s="116">
        <f t="shared" si="33"/>
        <v>0</v>
      </c>
      <c r="DB20" s="116">
        <f>MAX(-CT20,MIN(0,ROUND($R20*EFBPercent+EFBAdd,2)-$Q20),MIN(0,SUM($CS20:CS20)+MIN(0,ROUND($R20*EFBPercent+EFBAdd,2)-$Q20)))</f>
        <v>0</v>
      </c>
      <c r="DC20" s="192">
        <f>IF(CU20&lt;0,0,MAX(-CU20,MIN(0,ROUND($R20*EFBPercent+EFBAdd,2)-$Q20),MIN(0,SUM($CS20:CT20)+MIN(0,ROUND($R20*EFBPercent+EFBAdd,2)-$Q20))))</f>
        <v>0</v>
      </c>
      <c r="DD20" s="192">
        <f>IF(CV20&lt;0,0,MAX(-CV20,MIN(0,ROUND($R20*EFBPercent+EFBAdd,2)-$Q20),MIN(0,SUM($CS20:CU20)+MIN(0,ROUND($R20*EFBPercent+EFBAdd,2)-$Q20))))</f>
        <v>0</v>
      </c>
      <c r="DE20" s="192">
        <f>IF(CW20&lt;0,0,MAX(-CW20,MIN(0,ROUND($R20*EFBPercent+EFBAdd,2)-$Q20),MIN(0,SUM($CS20:CV20)+MIN(0,ROUND($R20*EFBPercent+EFBAdd,2)-$Q20))))</f>
        <v>0</v>
      </c>
      <c r="DF20" s="192">
        <f>IF(CX20&lt;0,0,MAX(-CX20,MIN(0,ROUND($R20*EFBPercent+EFBAdd,2)-$Q20),MIN(0,SUM($CS20:CW20)+MIN(0,ROUND($R20*EFBPercent+EFBAdd,2)-$Q20))))</f>
        <v>0</v>
      </c>
      <c r="DG20" s="116">
        <f>MAX(-CY20,MIN(0,ROUND($R20*EFBPercent+EFBAdd,2)-$Q20),MIN(0,SUM($CS20:CX20)+MIN(0,ROUND($R20*EFBPercent+EFBAdd,2)-$Q20)))</f>
        <v>0</v>
      </c>
      <c r="DI20" s="73">
        <f t="shared" si="34"/>
        <v>1143126.5600000003</v>
      </c>
      <c r="DJ20" s="73">
        <f t="shared" si="35"/>
        <v>78406.42</v>
      </c>
      <c r="DK20" s="73">
        <f t="shared" si="36"/>
        <v>0</v>
      </c>
      <c r="DL20" s="73">
        <f t="shared" si="37"/>
        <v>0</v>
      </c>
      <c r="DM20" s="73">
        <f t="shared" si="38"/>
        <v>0</v>
      </c>
      <c r="DN20" s="73">
        <f t="shared" si="39"/>
        <v>0</v>
      </c>
      <c r="DO20" s="73">
        <f t="shared" si="40"/>
        <v>0</v>
      </c>
      <c r="DP20" s="73"/>
      <c r="DQ20" s="73"/>
    </row>
    <row r="21" spans="1:121" ht="10.199999999999999" x14ac:dyDescent="0.2">
      <c r="A21" s="4" t="s">
        <v>855</v>
      </c>
      <c r="B21" s="72">
        <v>1404</v>
      </c>
      <c r="C21" s="13" t="s">
        <v>813</v>
      </c>
      <c r="D21" s="4">
        <v>2027</v>
      </c>
      <c r="E21" s="4" t="s">
        <v>815</v>
      </c>
      <c r="F21" s="4">
        <v>0</v>
      </c>
      <c r="G21" s="4" t="s">
        <v>968</v>
      </c>
      <c r="H21" s="4">
        <v>0</v>
      </c>
      <c r="I21" s="4">
        <v>0</v>
      </c>
      <c r="J21" s="5">
        <v>0</v>
      </c>
      <c r="K21" s="5">
        <v>0</v>
      </c>
      <c r="L21" s="5">
        <v>0</v>
      </c>
      <c r="M21" s="5">
        <v>0</v>
      </c>
      <c r="N21" s="5">
        <v>0</v>
      </c>
      <c r="O21" s="5">
        <v>0</v>
      </c>
      <c r="P21" s="5">
        <v>0</v>
      </c>
      <c r="Q21" s="5">
        <v>0</v>
      </c>
      <c r="R21" s="5">
        <v>0</v>
      </c>
      <c r="S21" s="5">
        <v>0</v>
      </c>
      <c r="T21" s="5">
        <v>0</v>
      </c>
      <c r="U21" s="5">
        <v>0</v>
      </c>
      <c r="V21" s="5">
        <v>0</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f t="shared" si="41"/>
        <v>0</v>
      </c>
      <c r="AP21" s="5">
        <v>0</v>
      </c>
      <c r="AQ21" s="5">
        <v>0</v>
      </c>
      <c r="AR21" s="5">
        <v>0</v>
      </c>
      <c r="AS21" s="5">
        <v>0</v>
      </c>
      <c r="AT21" s="5">
        <v>0</v>
      </c>
      <c r="AU21" s="5">
        <v>0</v>
      </c>
      <c r="AV21" s="5">
        <v>0</v>
      </c>
      <c r="AW21" s="5">
        <v>0</v>
      </c>
      <c r="AX21" s="5">
        <v>0</v>
      </c>
      <c r="AY21" s="199">
        <v>0</v>
      </c>
      <c r="AZ21" s="199">
        <v>0</v>
      </c>
      <c r="BA21" s="5">
        <v>0</v>
      </c>
      <c r="BB21" s="13">
        <v>0</v>
      </c>
      <c r="BC21" s="101">
        <f>MAX(ROUND(IF(F21&lt;4,IF(H21=0,(SUM(Y21:AD21)*Worksheet!$E$26+Y21*Worksheet!$E$27+AR21*Worksheet!$E$39)*-BaseRate,0)),2),MIN(0,-DI21))</f>
        <v>0</v>
      </c>
      <c r="BD21" s="101">
        <f>MAX(ROUND(IF(F21=4,0,IF(I21=0,0,ROUND(SUM(Y21:AD21)*Worksheet!$E$28,2)*-BaseRate)),2),MIN(0,-DI21-BC21))</f>
        <v>0</v>
      </c>
      <c r="BE21" s="130">
        <f t="shared" si="23"/>
        <v>0</v>
      </c>
      <c r="BF21" s="130">
        <f t="shared" si="24"/>
        <v>0</v>
      </c>
      <c r="BG21" s="73"/>
      <c r="BH21" s="118">
        <f t="shared" si="25"/>
        <v>0</v>
      </c>
      <c r="BI21" s="118">
        <f t="shared" si="26"/>
        <v>0</v>
      </c>
      <c r="BJ21" s="232">
        <f>IFERROR(ROUND(IF(AND(BB21*1.12&lt;N21*60/1000,N21/CL21&lt;STVPP*0.2),(CL21*STVPP*0.2*Worksheet!$F$88/1000-BB21*1.12)*PropTaxAdj,IF(BB21*1.12&lt;N21*60/1000,(N21*60/1000-BB21*1.12)*PropTaxAdj,0)),2),0)</f>
        <v>0</v>
      </c>
      <c r="BK21" s="116">
        <f>ROUND(IF($F21=4,0,Y21*Worksheet!$E$16),2)</f>
        <v>0</v>
      </c>
      <c r="BL21" s="116">
        <f>ROUND(IF($F21=4,0,Z21*Worksheet!$E$17),2)</f>
        <v>0</v>
      </c>
      <c r="BM21" s="116">
        <f>ROUND(IF($F21=4,0,AA21*Worksheet!$E$18),2)</f>
        <v>0</v>
      </c>
      <c r="BN21" s="116">
        <f>ROUND(IF($F21=4,0,AB21*Worksheet!$E$19),2)</f>
        <v>0</v>
      </c>
      <c r="BO21" s="116">
        <f>ROUND(IF($F21=4,0,AC21*Worksheet!$E$20),2)</f>
        <v>0</v>
      </c>
      <c r="BP21" s="116">
        <f>ROUND(AD21*Worksheet!$E$21,2)</f>
        <v>0</v>
      </c>
      <c r="BQ21" s="116">
        <f t="shared" si="27"/>
        <v>0</v>
      </c>
      <c r="BR21" s="116">
        <f>ROUND(AD21*Worksheet!$E$25,2)</f>
        <v>0</v>
      </c>
      <c r="BS21" s="116">
        <f>ROUND(SUM(BQ21)*Worksheet!$E$26,2)</f>
        <v>0</v>
      </c>
      <c r="BT21" s="116">
        <f>ROUND(Y21*Worksheet!$E$27,2)</f>
        <v>0</v>
      </c>
      <c r="BU21" s="116">
        <f>ROUND(AO21*Worksheet!$E$29,2)</f>
        <v>0</v>
      </c>
      <c r="BV21" s="116">
        <f>ROUND(AP21*Worksheet!$E$30,2)</f>
        <v>0</v>
      </c>
      <c r="BW21" s="116">
        <f>ROUND(IF($I21&lt;&gt;0,$BQ21*Worksheet!$E$28,0),2)</f>
        <v>0</v>
      </c>
      <c r="BX21" s="116">
        <f>ROUND(AE21*Worksheet!$E$31,2)</f>
        <v>0</v>
      </c>
      <c r="BY21" s="116">
        <f>ROUND(AF21*Worksheet!$E$32,2)</f>
        <v>0</v>
      </c>
      <c r="BZ21" s="116">
        <f>ROUND(AG21*Worksheet!$E$33,2)</f>
        <v>0</v>
      </c>
      <c r="CA21" s="116">
        <f>ROUND(ROUND(AH21*BQ21,2)*Worksheet!$E$34,2)</f>
        <v>0</v>
      </c>
      <c r="CB21" s="116">
        <f>ROUND(AI21*Worksheet!$E$35,2)</f>
        <v>0</v>
      </c>
      <c r="CC21" s="116">
        <f>ROUND(AJ21*Worksheet!$E$36,2)</f>
        <v>0</v>
      </c>
      <c r="CD21" s="116">
        <f>ROUND(AQ21*Worksheet!$E$38,2)</f>
        <v>0</v>
      </c>
      <c r="CE21" s="116">
        <f>ROUND(AR21*Worksheet!$E$39,2)</f>
        <v>0</v>
      </c>
      <c r="CF21" s="116">
        <f>IF(AND(L21&gt;275,SUM(Y21:AD21)&lt;100),ROUND(SUM(Y21:AD21)*Worksheet!$E$41,2),0)</f>
        <v>0</v>
      </c>
      <c r="CG21" s="116">
        <f>IF(AND(L21&gt;600,SUM(Y21:AD21)&lt;50),ROUND((50-SUM(Y21:AD21))*(Worksheet!$E$41+1),2),0)</f>
        <v>0</v>
      </c>
      <c r="CH21" s="116">
        <f t="shared" si="28"/>
        <v>0</v>
      </c>
      <c r="CI21" s="116">
        <f t="shared" si="43"/>
        <v>0</v>
      </c>
      <c r="CJ21" s="116">
        <f t="shared" si="44"/>
        <v>0</v>
      </c>
      <c r="CK21" s="95">
        <f t="shared" si="29"/>
        <v>0</v>
      </c>
      <c r="CL21" s="116">
        <f t="shared" si="45"/>
        <v>0</v>
      </c>
      <c r="CM21" s="116">
        <f t="shared" si="46"/>
        <v>0</v>
      </c>
      <c r="CN21" s="116">
        <f t="shared" si="30"/>
        <v>0</v>
      </c>
      <c r="CO21" s="131">
        <f>ROUND(IF(F21=4,0,(MAX(ROUND(MAX((BI21*MIN(CL21,K21)*Worksheet!$D$126)+MAX(CL21-K21,0)*Worksheet!$F$50,SUM(J21)),2),SUM(CN21))-SUM(CN21))*MinAdj),2)</f>
        <v>0</v>
      </c>
      <c r="CP21" s="116">
        <f t="shared" si="31"/>
        <v>0</v>
      </c>
      <c r="CQ21" s="131">
        <f>IF(CL21=0,0,-MIN(CP21,MIN(CP21,ROUND(IF(ROUND(IF(CL21=0,0,N21/CL21),2)&lt;STVPP*0.2,STVPP*0.2*CL21*Worksheet!$F$88/1000,N21*Worksheet!$F$88/1000),2))))</f>
        <v>0</v>
      </c>
      <c r="CR21" s="131">
        <f>-MIN(SUM(CP21,CQ21),IF($P21=0,(ROUND(Worksheet!$E$77*S21,2)+ROUND(Worksheet!$E$78*T21,2)+ROUND(Worksheet!$E$79*U21,2)+ROUND(Worksheet!$E$80*V21,2)+ROUND(Worksheet!$E$81*W21,2)+ROUND(Worksheet!$E$82*X21,2)),(ROUND(ROUND(S21*ROUND((1-$O21/$P21),4),2)*Worksheet!$E$77,2)+ROUND(ROUND(T21*ROUND((1-$O21/$P21),4),2)*Worksheet!$E$78,2)+ROUND(ROUND(U21*ROUND((1-$O21/$P21),4),2)*Worksheet!$E$79,2)+ROUND(ROUND(V21*ROUND((1-$O21/$P21),4),2)*Worksheet!$E$80,2)+ROUND(ROUND(W21*ROUND((1-$O21/$P21),4),2)*Worksheet!$E$81,2)+ROUND(ROUND(X21*ROUND((1-$O21/$P21),4),2)*Worksheet!$E$82,2))))</f>
        <v>0</v>
      </c>
      <c r="CS21" s="116">
        <f t="shared" si="32"/>
        <v>0</v>
      </c>
      <c r="CT21" s="116">
        <f>ROUND(MIN(BA21,ROUND((ROUND(AS21*Worksheet!$E$104,2)+ROUND(AV21*Worksheet!$E$107,2)+ROUND(AT21*Worksheet!$E$105,2)+ROUND(AW21*Worksheet!$E$108,2)+ROUND(AU21*Worksheet!$E$106,2)+ROUND(AX21*Worksheet!$E$109,2)+ROUND(AY21*Worksheet!$E$110,2)+ROUND(AZ21*Worksheet!$E$111,2))*Worksheet!$D$114,2))*BaseRate,2)</f>
        <v>0</v>
      </c>
      <c r="CU21" s="121">
        <v>0</v>
      </c>
      <c r="CV21" s="121">
        <v>0</v>
      </c>
      <c r="CW21" s="121">
        <v>0</v>
      </c>
      <c r="CX21" s="121">
        <v>0</v>
      </c>
      <c r="CY21" s="121">
        <v>0</v>
      </c>
      <c r="DA21" s="116">
        <f t="shared" si="33"/>
        <v>0</v>
      </c>
      <c r="DB21" s="116">
        <f>MAX(-CT21,MIN(0,ROUND($R21*EFBPercent+EFBAdd,2)-$Q21),MIN(0,SUM($CS21:CS21)+MIN(0,ROUND($R21*EFBPercent+EFBAdd,2)-$Q21)))</f>
        <v>0</v>
      </c>
      <c r="DC21" s="192">
        <f>IF(CU21&lt;0,0,MAX(-CU21,MIN(0,ROUND($R21*EFBPercent+EFBAdd,2)-$Q21),MIN(0,SUM($CS21:CT21)+MIN(0,ROUND($R21*EFBPercent+EFBAdd,2)-$Q21))))</f>
        <v>0</v>
      </c>
      <c r="DD21" s="192">
        <f>IF(CV21&lt;0,0,MAX(-CV21,MIN(0,ROUND($R21*EFBPercent+EFBAdd,2)-$Q21),MIN(0,SUM($CS21:CU21)+MIN(0,ROUND($R21*EFBPercent+EFBAdd,2)-$Q21))))</f>
        <v>0</v>
      </c>
      <c r="DE21" s="192">
        <f>IF(CW21&lt;0,0,MAX(-CW21,MIN(0,ROUND($R21*EFBPercent+EFBAdd,2)-$Q21),MIN(0,SUM($CS21:CV21)+MIN(0,ROUND($R21*EFBPercent+EFBAdd,2)-$Q21))))</f>
        <v>0</v>
      </c>
      <c r="DF21" s="192">
        <f>IF(CX21&lt;0,0,MAX(-CX21,MIN(0,ROUND($R21*EFBPercent+EFBAdd,2)-$Q21),MIN(0,SUM($CS21:CW21)+MIN(0,ROUND($R21*EFBPercent+EFBAdd,2)-$Q21))))</f>
        <v>0</v>
      </c>
      <c r="DG21" s="116">
        <f>MAX(-CY21,MIN(0,ROUND($R21*EFBPercent+EFBAdd,2)-$Q21),MIN(0,SUM($CS21:CX21)+MIN(0,ROUND($R21*EFBPercent+EFBAdd,2)-$Q21)))</f>
        <v>0</v>
      </c>
      <c r="DI21" s="73">
        <f t="shared" si="34"/>
        <v>0</v>
      </c>
      <c r="DJ21" s="73">
        <f t="shared" si="35"/>
        <v>0</v>
      </c>
      <c r="DK21" s="73">
        <f t="shared" si="36"/>
        <v>0</v>
      </c>
      <c r="DL21" s="73">
        <f t="shared" si="37"/>
        <v>0</v>
      </c>
      <c r="DM21" s="73">
        <f t="shared" si="38"/>
        <v>0</v>
      </c>
      <c r="DN21" s="73">
        <f t="shared" si="39"/>
        <v>0</v>
      </c>
      <c r="DO21" s="73">
        <f t="shared" si="40"/>
        <v>0</v>
      </c>
      <c r="DP21" s="73"/>
      <c r="DQ21" s="73"/>
    </row>
    <row r="22" spans="1:121" ht="10.199999999999999" x14ac:dyDescent="0.2">
      <c r="A22" s="4" t="s">
        <v>660</v>
      </c>
      <c r="B22" s="72">
        <v>2519</v>
      </c>
      <c r="C22" s="13" t="s">
        <v>180</v>
      </c>
      <c r="D22" s="4">
        <v>2027</v>
      </c>
      <c r="E22" s="4" t="s">
        <v>1028</v>
      </c>
      <c r="F22" s="4">
        <v>7</v>
      </c>
      <c r="G22" s="4" t="s">
        <v>660</v>
      </c>
      <c r="H22" s="4">
        <v>0</v>
      </c>
      <c r="I22" s="4">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f t="shared" si="41"/>
        <v>0</v>
      </c>
      <c r="AP22" s="5">
        <v>0</v>
      </c>
      <c r="AQ22" s="5">
        <v>0</v>
      </c>
      <c r="AR22" s="5">
        <v>0</v>
      </c>
      <c r="AS22" s="5">
        <v>0</v>
      </c>
      <c r="AT22" s="5">
        <v>0</v>
      </c>
      <c r="AU22" s="5">
        <v>0</v>
      </c>
      <c r="AV22" s="5">
        <v>0</v>
      </c>
      <c r="AW22" s="5">
        <v>0</v>
      </c>
      <c r="AX22" s="5">
        <v>0</v>
      </c>
      <c r="AY22" s="199">
        <v>0</v>
      </c>
      <c r="AZ22" s="199">
        <v>0</v>
      </c>
      <c r="BA22" s="5">
        <v>0</v>
      </c>
      <c r="BB22" s="13">
        <v>0</v>
      </c>
      <c r="BC22" s="101">
        <f>MAX(ROUND(IF(F22&lt;4,IF(H22=0,(SUM(Y22:AD22)*Worksheet!$E$26+Y22*Worksheet!$E$27+AR22*Worksheet!$E$39)*-BaseRate,0)),2),MIN(0,-DI22))</f>
        <v>0</v>
      </c>
      <c r="BD22" s="101">
        <f>MAX(ROUND(IF(F22=4,0,IF(I22=0,0,ROUND(SUM(Y22:AD22)*Worksheet!$E$28,2)*-BaseRate)),2),MIN(0,-DI22-BC22))</f>
        <v>0</v>
      </c>
      <c r="BE22" s="130">
        <f t="shared" si="23"/>
        <v>0</v>
      </c>
      <c r="BF22" s="130">
        <f t="shared" si="24"/>
        <v>0</v>
      </c>
      <c r="BG22" s="73"/>
      <c r="BH22" s="118">
        <f t="shared" si="25"/>
        <v>0</v>
      </c>
      <c r="BI22" s="118">
        <f t="shared" si="26"/>
        <v>0</v>
      </c>
      <c r="BJ22" s="232">
        <f>IFERROR(ROUND(IF(AND(BB22*1.12&lt;N22*60/1000,N22/CL22&lt;STVPP*0.2),(CL22*STVPP*0.2*Worksheet!$F$88/1000-BB22*1.12)*PropTaxAdj,IF(BB22*1.12&lt;N22*60/1000,(N22*60/1000-BB22*1.12)*PropTaxAdj,0)),2),0)</f>
        <v>0</v>
      </c>
      <c r="BK22" s="116">
        <f>ROUND(IF($F22=4,0,Y22*Worksheet!$E$16),2)</f>
        <v>0</v>
      </c>
      <c r="BL22" s="116">
        <f>ROUND(IF($F22=4,0,Z22*Worksheet!$E$17),2)</f>
        <v>0</v>
      </c>
      <c r="BM22" s="116">
        <f>ROUND(IF($F22=4,0,AA22*Worksheet!$E$18),2)</f>
        <v>0</v>
      </c>
      <c r="BN22" s="116">
        <f>ROUND(IF($F22=4,0,AB22*Worksheet!$E$19),2)</f>
        <v>0</v>
      </c>
      <c r="BO22" s="116">
        <f>ROUND(IF($F22=4,0,AC22*Worksheet!$E$20),2)</f>
        <v>0</v>
      </c>
      <c r="BP22" s="116">
        <f>ROUND(AD22*Worksheet!$E$21,2)</f>
        <v>0</v>
      </c>
      <c r="BQ22" s="116">
        <f t="shared" si="27"/>
        <v>0</v>
      </c>
      <c r="BR22" s="116">
        <f>ROUND(AD22*Worksheet!$E$25,2)</f>
        <v>0</v>
      </c>
      <c r="BS22" s="116">
        <f>ROUND(SUM(BQ22)*Worksheet!$E$26,2)</f>
        <v>0</v>
      </c>
      <c r="BT22" s="116">
        <f>ROUND(Y22*Worksheet!$E$27,2)</f>
        <v>0</v>
      </c>
      <c r="BU22" s="116">
        <f>ROUND(AO22*Worksheet!$E$29,2)</f>
        <v>0</v>
      </c>
      <c r="BV22" s="116">
        <f>ROUND(AP22*Worksheet!$E$30,2)</f>
        <v>0</v>
      </c>
      <c r="BW22" s="116">
        <f>ROUND(IF($I22&lt;&gt;0,$BQ22*Worksheet!$E$28,0),2)</f>
        <v>0</v>
      </c>
      <c r="BX22" s="116">
        <f>ROUND(AE22*Worksheet!$E$31,2)</f>
        <v>0</v>
      </c>
      <c r="BY22" s="116">
        <f>ROUND(AF22*Worksheet!$E$32,2)</f>
        <v>0</v>
      </c>
      <c r="BZ22" s="116">
        <f>ROUND(AG22*Worksheet!$E$33,2)</f>
        <v>0</v>
      </c>
      <c r="CA22" s="116">
        <f>ROUND(ROUND(AH22*BQ22,2)*Worksheet!$E$34,2)</f>
        <v>0</v>
      </c>
      <c r="CB22" s="116">
        <f>ROUND(AI22*Worksheet!$E$35,2)</f>
        <v>0</v>
      </c>
      <c r="CC22" s="116">
        <f>ROUND(AJ22*Worksheet!$E$36,2)</f>
        <v>0</v>
      </c>
      <c r="CD22" s="116">
        <f>ROUND(AQ22*Worksheet!$E$38,2)</f>
        <v>0</v>
      </c>
      <c r="CE22" s="116">
        <f>ROUND(AR22*Worksheet!$E$39,2)</f>
        <v>0</v>
      </c>
      <c r="CF22" s="116">
        <f>IF(AND(L22&gt;275,SUM(Y22:AD22)&lt;100),ROUND(SUM(Y22:AD22)*Worksheet!$E$41,2),0)</f>
        <v>0</v>
      </c>
      <c r="CG22" s="116">
        <f>IF(AND(L22&gt;600,SUM(Y22:AD22)&lt;50),ROUND((50-SUM(Y22:AD22))*(Worksheet!$E$41+1),2),0)</f>
        <v>0</v>
      </c>
      <c r="CH22" s="116">
        <f t="shared" si="28"/>
        <v>0</v>
      </c>
      <c r="CI22" s="116">
        <f t="shared" si="43"/>
        <v>0</v>
      </c>
      <c r="CJ22" s="116">
        <f t="shared" si="44"/>
        <v>0</v>
      </c>
      <c r="CK22" s="95">
        <f t="shared" si="29"/>
        <v>0</v>
      </c>
      <c r="CL22" s="116">
        <f t="shared" si="45"/>
        <v>0</v>
      </c>
      <c r="CM22" s="116">
        <f t="shared" si="46"/>
        <v>0</v>
      </c>
      <c r="CN22" s="116">
        <f t="shared" si="30"/>
        <v>0</v>
      </c>
      <c r="CO22" s="131">
        <f>ROUND(IF(F22=4,0,(MAX(ROUND(MAX((BI22*MIN(CL22,K22)*Worksheet!$D$126)+MAX(CL22-K22,0)*Worksheet!$F$50,SUM(J22)),2),SUM(CN22))-SUM(CN22))*MinAdj),2)</f>
        <v>0</v>
      </c>
      <c r="CP22" s="116">
        <f t="shared" si="31"/>
        <v>0</v>
      </c>
      <c r="CQ22" s="131">
        <f>IF(CL22=0,0,-MIN(CP22,MIN(CP22,ROUND(IF(ROUND(IF(CL22=0,0,N22/CL22),2)&lt;STVPP*0.2,STVPP*0.2*CL22*Worksheet!$F$88/1000,N22*Worksheet!$F$88/1000),2))))</f>
        <v>0</v>
      </c>
      <c r="CR22" s="131">
        <f>-MIN(SUM(CP22,CQ22),IF($P22=0,(ROUND(Worksheet!$E$77*S22,2)+ROUND(Worksheet!$E$78*T22,2)+ROUND(Worksheet!$E$79*U22,2)+ROUND(Worksheet!$E$80*V22,2)+ROUND(Worksheet!$E$81*W22,2)+ROUND(Worksheet!$E$82*X22,2)),(ROUND(ROUND(S22*ROUND((1-$O22/$P22),4),2)*Worksheet!$E$77,2)+ROUND(ROUND(T22*ROUND((1-$O22/$P22),4),2)*Worksheet!$E$78,2)+ROUND(ROUND(U22*ROUND((1-$O22/$P22),4),2)*Worksheet!$E$79,2)+ROUND(ROUND(V22*ROUND((1-$O22/$P22),4),2)*Worksheet!$E$80,2)+ROUND(ROUND(W22*ROUND((1-$O22/$P22),4),2)*Worksheet!$E$81,2)+ROUND(ROUND(X22*ROUND((1-$O22/$P22),4),2)*Worksheet!$E$82,2))))</f>
        <v>0</v>
      </c>
      <c r="CS22" s="116">
        <f t="shared" si="32"/>
        <v>0</v>
      </c>
      <c r="CT22" s="116">
        <f>ROUND(MIN(BA22,ROUND((ROUND(AS22*Worksheet!$E$104,2)+ROUND(AV22*Worksheet!$E$107,2)+ROUND(AT22*Worksheet!$E$105,2)+ROUND(AW22*Worksheet!$E$108,2)+ROUND(AU22*Worksheet!$E$106,2)+ROUND(AX22*Worksheet!$E$109,2)+ROUND(AY22*Worksheet!$E$110,2)+ROUND(AZ22*Worksheet!$E$111,2))*Worksheet!$D$114,2))*BaseRate,2)</f>
        <v>0</v>
      </c>
      <c r="CU22" s="121">
        <v>0</v>
      </c>
      <c r="CV22" s="121">
        <v>0</v>
      </c>
      <c r="CW22" s="121">
        <v>0</v>
      </c>
      <c r="CX22" s="121">
        <v>0</v>
      </c>
      <c r="CY22" s="121">
        <v>0</v>
      </c>
      <c r="DA22" s="116">
        <f t="shared" si="33"/>
        <v>0</v>
      </c>
      <c r="DB22" s="116">
        <f>MAX(-CT22,MIN(0,ROUND($R22*EFBPercent+EFBAdd,2)-$Q22),MIN(0,SUM($CS22:CS22)+MIN(0,ROUND($R22*EFBPercent+EFBAdd,2)-$Q22)))</f>
        <v>0</v>
      </c>
      <c r="DC22" s="192">
        <f>IF(CU22&lt;0,0,MAX(-CU22,MIN(0,ROUND($R22*EFBPercent+EFBAdd,2)-$Q22),MIN(0,SUM($CS22:CT22)+MIN(0,ROUND($R22*EFBPercent+EFBAdd,2)-$Q22))))</f>
        <v>0</v>
      </c>
      <c r="DD22" s="192">
        <f>IF(CV22&lt;0,0,MAX(-CV22,MIN(0,ROUND($R22*EFBPercent+EFBAdd,2)-$Q22),MIN(0,SUM($CS22:CU22)+MIN(0,ROUND($R22*EFBPercent+EFBAdd,2)-$Q22))))</f>
        <v>0</v>
      </c>
      <c r="DE22" s="192">
        <f>IF(CW22&lt;0,0,MAX(-CW22,MIN(0,ROUND($R22*EFBPercent+EFBAdd,2)-$Q22),MIN(0,SUM($CS22:CV22)+MIN(0,ROUND($R22*EFBPercent+EFBAdd,2)-$Q22))))</f>
        <v>0</v>
      </c>
      <c r="DF22" s="192">
        <f>IF(CX22&lt;0,0,MAX(-CX22,MIN(0,ROUND($R22*EFBPercent+EFBAdd,2)-$Q22),MIN(0,SUM($CS22:CW22)+MIN(0,ROUND($R22*EFBPercent+EFBAdd,2)-$Q22))))</f>
        <v>0</v>
      </c>
      <c r="DG22" s="116">
        <f>MAX(-CY22,MIN(0,ROUND($R22*EFBPercent+EFBAdd,2)-$Q22),MIN(0,SUM($CS22:CX22)+MIN(0,ROUND($R22*EFBPercent+EFBAdd,2)-$Q22)))</f>
        <v>0</v>
      </c>
      <c r="DI22" s="73">
        <f t="shared" si="34"/>
        <v>0</v>
      </c>
      <c r="DJ22" s="73">
        <f t="shared" si="35"/>
        <v>0</v>
      </c>
      <c r="DK22" s="73">
        <f t="shared" si="36"/>
        <v>0</v>
      </c>
      <c r="DL22" s="73">
        <f t="shared" si="37"/>
        <v>0</v>
      </c>
      <c r="DM22" s="73">
        <f t="shared" si="38"/>
        <v>0</v>
      </c>
      <c r="DN22" s="73">
        <f t="shared" si="39"/>
        <v>0</v>
      </c>
      <c r="DO22" s="73">
        <f t="shared" si="40"/>
        <v>0</v>
      </c>
      <c r="DP22" s="73"/>
      <c r="DQ22" s="73"/>
    </row>
    <row r="23" spans="1:121" ht="10.199999999999999" x14ac:dyDescent="0.2">
      <c r="A23" s="4" t="s">
        <v>511</v>
      </c>
      <c r="B23" s="72">
        <v>1015</v>
      </c>
      <c r="C23" s="13" t="s">
        <v>37</v>
      </c>
      <c r="D23" s="4">
        <v>2027</v>
      </c>
      <c r="E23" s="4" t="s">
        <v>1029</v>
      </c>
      <c r="F23" s="4">
        <v>1</v>
      </c>
      <c r="G23" s="4" t="s">
        <v>680</v>
      </c>
      <c r="H23" s="4">
        <v>100</v>
      </c>
      <c r="I23" s="4" t="s">
        <v>1152</v>
      </c>
      <c r="J23" s="5">
        <v>6399086.29</v>
      </c>
      <c r="K23" s="5">
        <v>532.91</v>
      </c>
      <c r="L23" s="5">
        <v>1415.5</v>
      </c>
      <c r="M23" s="5">
        <v>0</v>
      </c>
      <c r="N23" s="5">
        <v>23754154</v>
      </c>
      <c r="O23" s="5">
        <v>0</v>
      </c>
      <c r="P23" s="5">
        <v>93.309999999999988</v>
      </c>
      <c r="Q23" s="5">
        <v>0</v>
      </c>
      <c r="R23" s="5">
        <v>0</v>
      </c>
      <c r="S23" s="5">
        <v>32512.74</v>
      </c>
      <c r="T23" s="5">
        <v>1574165.31</v>
      </c>
      <c r="U23" s="5">
        <v>0</v>
      </c>
      <c r="V23" s="5">
        <v>6813.79</v>
      </c>
      <c r="W23" s="5">
        <v>9115.619999999999</v>
      </c>
      <c r="X23" s="5">
        <v>14909.36</v>
      </c>
      <c r="Y23" s="5">
        <v>5.19</v>
      </c>
      <c r="Z23" s="5">
        <v>27</v>
      </c>
      <c r="AA23" s="5">
        <v>206</v>
      </c>
      <c r="AB23" s="5">
        <v>75</v>
      </c>
      <c r="AC23" s="5">
        <v>158</v>
      </c>
      <c r="AD23" s="5">
        <v>0</v>
      </c>
      <c r="AE23" s="5">
        <v>0</v>
      </c>
      <c r="AF23" s="5">
        <v>1</v>
      </c>
      <c r="AG23" s="5">
        <v>2</v>
      </c>
      <c r="AH23" s="5">
        <v>0.19800000000000001</v>
      </c>
      <c r="AI23" s="5">
        <v>0</v>
      </c>
      <c r="AJ23" s="5">
        <v>0</v>
      </c>
      <c r="AK23" s="5">
        <v>0</v>
      </c>
      <c r="AL23" s="5">
        <v>438.92999999999995</v>
      </c>
      <c r="AM23" s="5">
        <v>0</v>
      </c>
      <c r="AN23" s="5">
        <v>466</v>
      </c>
      <c r="AO23" s="5">
        <f t="shared" si="41"/>
        <v>0</v>
      </c>
      <c r="AP23" s="5">
        <f t="shared" ref="AP23:AP34" si="49">IF(AM23&gt;0,SUM(Z23:AD23)-AN23,0)</f>
        <v>0</v>
      </c>
      <c r="AQ23" s="5">
        <v>2</v>
      </c>
      <c r="AR23" s="5">
        <v>0</v>
      </c>
      <c r="AS23" s="5">
        <v>0</v>
      </c>
      <c r="AT23" s="5">
        <v>194544</v>
      </c>
      <c r="AU23" s="5">
        <v>0</v>
      </c>
      <c r="AV23" s="5">
        <v>3360</v>
      </c>
      <c r="AW23" s="5">
        <v>1415.5</v>
      </c>
      <c r="AX23" s="5">
        <v>3</v>
      </c>
      <c r="AY23" s="199">
        <v>0</v>
      </c>
      <c r="AZ23" s="199">
        <v>0</v>
      </c>
      <c r="BA23" s="5">
        <v>453175.88</v>
      </c>
      <c r="BB23" s="13">
        <v>1460597.7</v>
      </c>
      <c r="BC23" s="101">
        <f>MAX(ROUND(IF(F23&lt;4,IF(H23=0,(SUM(Y23:AD23)*Worksheet!$E$26+Y23*Worksheet!$E$27+AR23*Worksheet!$E$39)*-BaseRate,0)),2),MIN(0,-DI23))</f>
        <v>0</v>
      </c>
      <c r="BD23" s="101">
        <f>MAX(ROUND(IF(F23=4,0,IF(I23=0,0,ROUND(SUM(Y23:AD23)*Worksheet!$E$28,2)*-BaseRate)),2),MIN(0,-DI23-BC23))</f>
        <v>-10935.02</v>
      </c>
      <c r="BE23" s="130">
        <f t="shared" si="23"/>
        <v>0</v>
      </c>
      <c r="BF23" s="130">
        <f t="shared" si="24"/>
        <v>1412</v>
      </c>
      <c r="BG23" s="73"/>
      <c r="BH23" s="118">
        <f t="shared" si="25"/>
        <v>44921.72</v>
      </c>
      <c r="BI23" s="118">
        <f t="shared" si="26"/>
        <v>12007.82</v>
      </c>
      <c r="BJ23" s="232">
        <f>IFERROR(ROUND(IF(AND(BB23*1.12&lt;N23*60/1000,N23/CL23&lt;STVPP*0.2),(CL23*STVPP*0.2*Worksheet!$F$88/1000-BB23*1.12)*PropTaxAdj,IF(BB23*1.12&lt;N23*60/1000,(N23*60/1000-BB23*1.12)*PropTaxAdj,0)),2),0)</f>
        <v>0</v>
      </c>
      <c r="BK23" s="116">
        <f>ROUND(IF($F23=4,0,Y23*Worksheet!$E$16),2)</f>
        <v>5.19</v>
      </c>
      <c r="BL23" s="116">
        <f>ROUND(IF($F23=4,0,Z23*Worksheet!$E$17),2)</f>
        <v>27</v>
      </c>
      <c r="BM23" s="116">
        <f>ROUND(IF($F23=4,0,AA23*Worksheet!$E$18),2)</f>
        <v>206</v>
      </c>
      <c r="BN23" s="116">
        <f>ROUND(IF($F23=4,0,AB23*Worksheet!$E$19),2)</f>
        <v>75</v>
      </c>
      <c r="BO23" s="116">
        <f>ROUND(IF($F23=4,0,AC23*Worksheet!$E$20),2)</f>
        <v>158</v>
      </c>
      <c r="BP23" s="116">
        <f>ROUND(AD23*Worksheet!$E$21,2)</f>
        <v>0</v>
      </c>
      <c r="BQ23" s="116">
        <f t="shared" si="27"/>
        <v>471.19</v>
      </c>
      <c r="BR23" s="116">
        <f>ROUND(AD23*Worksheet!$E$25,2)</f>
        <v>0</v>
      </c>
      <c r="BS23" s="116">
        <f>ROUND(SUM(BQ23)*Worksheet!$E$26,2)</f>
        <v>41.46</v>
      </c>
      <c r="BT23" s="116">
        <f>ROUND(Y23*Worksheet!$E$27,2)</f>
        <v>0.88</v>
      </c>
      <c r="BU23" s="116">
        <f>ROUND(AO23*Worksheet!$E$29,2)</f>
        <v>0</v>
      </c>
      <c r="BV23" s="116">
        <f>ROUND(AP23*Worksheet!$E$30,2)</f>
        <v>0</v>
      </c>
      <c r="BW23" s="116">
        <f>ROUND(IF($I23&lt;&gt;0,$BQ23*Worksheet!$E$28,0),2)</f>
        <v>0.94</v>
      </c>
      <c r="BX23" s="116">
        <f>ROUND(AE23*Worksheet!$E$31,2)</f>
        <v>0</v>
      </c>
      <c r="BY23" s="116">
        <f>ROUND(AF23*Worksheet!$E$32,2)</f>
        <v>0.28000000000000003</v>
      </c>
      <c r="BZ23" s="116">
        <f>ROUND(AG23*Worksheet!$E$33,2)</f>
        <v>0.14000000000000001</v>
      </c>
      <c r="CA23" s="116">
        <f>ROUND(ROUND(AH23*BQ23,2)*Worksheet!$E$34,2)</f>
        <v>2.33</v>
      </c>
      <c r="CB23" s="116">
        <f>ROUND(AI23*Worksheet!$E$35,2)</f>
        <v>0</v>
      </c>
      <c r="CC23" s="116">
        <f>ROUND(AJ23*Worksheet!$E$36,2)</f>
        <v>0</v>
      </c>
      <c r="CD23" s="116">
        <f>ROUND(AQ23*Worksheet!$E$38,2)</f>
        <v>1.2</v>
      </c>
      <c r="CE23" s="116">
        <f>ROUND(AR23*Worksheet!$E$39,2)</f>
        <v>0</v>
      </c>
      <c r="CF23" s="116">
        <f>IF(AND(L23&gt;275,SUM(Y23:AD23)&lt;100),ROUND(SUM(Y23:AD23)*Worksheet!$E$41,2),0)</f>
        <v>0</v>
      </c>
      <c r="CG23" s="116">
        <f>IF(AND(L23&gt;600,SUM(Y23:AD23)&lt;50),ROUND((50-SUM(Y23:AD23))*(Worksheet!$E$41+1),2),0)</f>
        <v>0</v>
      </c>
      <c r="CH23" s="116">
        <f t="shared" si="28"/>
        <v>518.42000000000007</v>
      </c>
      <c r="CI23" s="116">
        <f t="shared" si="43"/>
        <v>0</v>
      </c>
      <c r="CJ23" s="116">
        <f t="shared" si="44"/>
        <v>518.42000000000007</v>
      </c>
      <c r="CK23" s="95">
        <f t="shared" si="29"/>
        <v>1.02</v>
      </c>
      <c r="CL23" s="116">
        <f t="shared" si="45"/>
        <v>528.79</v>
      </c>
      <c r="CM23" s="116">
        <f t="shared" si="46"/>
        <v>528.79</v>
      </c>
      <c r="CN23" s="116">
        <f t="shared" si="30"/>
        <v>6151414.0700000003</v>
      </c>
      <c r="CO23" s="131">
        <f>ROUND(IF(F23=4,0,(MAX(ROUND(MAX((BI23*MIN(CL23,K23)*Worksheet!$D$126)+MAX(CL23-K23,0)*Worksheet!$F$50,SUM(J23)),2),SUM(CN23))-SUM(CN23))*MinAdj),2)</f>
        <v>48779.01</v>
      </c>
      <c r="CP23" s="116">
        <f t="shared" si="31"/>
        <v>6200193.0800000001</v>
      </c>
      <c r="CQ23" s="131">
        <f>IF(CL23=0,0,-MIN(CP23,MIN(CP23,ROUND(IF(ROUND(IF(CL23=0,0,N23/CL23),2)&lt;STVPP*0.2,STVPP*0.2*CL23*Worksheet!$F$88/1000,N23*Worksheet!$F$88/1000),2))))</f>
        <v>-1425249.24</v>
      </c>
      <c r="CR23" s="131">
        <f>-MIN(SUM(CP23,CQ23),IF($P23=0,(ROUND(Worksheet!$E$77*S23,2)+ROUND(Worksheet!$E$78*T23,2)+ROUND(Worksheet!$E$79*U23,2)+ROUND(Worksheet!$E$80*V23,2)+ROUND(Worksheet!$E$81*W23,2)+ROUND(Worksheet!$E$82*X23,2)),(ROUND(ROUND(S23*ROUND((1-$O23/$P23),4),2)*Worksheet!$E$77,2)+ROUND(ROUND(T23*ROUND((1-$O23/$P23),4),2)*Worksheet!$E$78,2)+ROUND(ROUND(U23*ROUND((1-$O23/$P23),4),2)*Worksheet!$E$79,2)+ROUND(ROUND(V23*ROUND((1-$O23/$P23),4),2)*Worksheet!$E$80,2)+ROUND(ROUND(W23*ROUND((1-$O23/$P23),4),2)*Worksheet!$E$81,2)+ROUND(ROUND(X23*ROUND((1-$O23/$P23),4),2)*Worksheet!$E$82,2))))</f>
        <v>-1228137.6200000001</v>
      </c>
      <c r="CS23" s="116">
        <f t="shared" si="32"/>
        <v>3546806.2199999997</v>
      </c>
      <c r="CT23" s="116">
        <f>ROUND(MIN(BA23,ROUND((ROUND(AS23*Worksheet!$E$104,2)+ROUND(AV23*Worksheet!$E$107,2)+ROUND(AT23*Worksheet!$E$105,2)+ROUND(AW23*Worksheet!$E$108,2)+ROUND(AU23*Worksheet!$E$106,2)+ROUND(AX23*Worksheet!$E$109,2)+ROUND(AY23*Worksheet!$E$110,2)+ROUND(AZ23*Worksheet!$E$111,2))*Worksheet!$D$114,2))*BaseRate,2)</f>
        <v>286404.46000000002</v>
      </c>
      <c r="CU23" s="121">
        <v>0</v>
      </c>
      <c r="CV23" s="121">
        <v>0</v>
      </c>
      <c r="CW23" s="121">
        <v>0</v>
      </c>
      <c r="CX23" s="121">
        <v>0</v>
      </c>
      <c r="CY23" s="121">
        <v>0</v>
      </c>
      <c r="DA23" s="116">
        <f t="shared" si="33"/>
        <v>0</v>
      </c>
      <c r="DB23" s="116">
        <f>MAX(-CT23,MIN(0,ROUND($R23*EFBPercent+EFBAdd,2)-$Q23),MIN(0,SUM($CS23:CS23)+MIN(0,ROUND($R23*EFBPercent+EFBAdd,2)-$Q23)))</f>
        <v>0</v>
      </c>
      <c r="DC23" s="192">
        <f>IF(CU23&lt;0,0,MAX(-CU23,MIN(0,ROUND($R23*EFBPercent+EFBAdd,2)-$Q23),MIN(0,SUM($CS23:CT23)+MIN(0,ROUND($R23*EFBPercent+EFBAdd,2)-$Q23))))</f>
        <v>0</v>
      </c>
      <c r="DD23" s="192">
        <f>IF(CV23&lt;0,0,MAX(-CV23,MIN(0,ROUND($R23*EFBPercent+EFBAdd,2)-$Q23),MIN(0,SUM($CS23:CU23)+MIN(0,ROUND($R23*EFBPercent+EFBAdd,2)-$Q23))))</f>
        <v>0</v>
      </c>
      <c r="DE23" s="192">
        <f>IF(CW23&lt;0,0,MAX(-CW23,MIN(0,ROUND($R23*EFBPercent+EFBAdd,2)-$Q23),MIN(0,SUM($CS23:CV23)+MIN(0,ROUND($R23*EFBPercent+EFBAdd,2)-$Q23))))</f>
        <v>0</v>
      </c>
      <c r="DF23" s="192">
        <f>IF(CX23&lt;0,0,MAX(-CX23,MIN(0,ROUND($R23*EFBPercent+EFBAdd,2)-$Q23),MIN(0,SUM($CS23:CW23)+MIN(0,ROUND($R23*EFBPercent+EFBAdd,2)-$Q23))))</f>
        <v>0</v>
      </c>
      <c r="DG23" s="116">
        <f>MAX(-CY23,MIN(0,ROUND($R23*EFBPercent+EFBAdd,2)-$Q23),MIN(0,SUM($CS23:CX23)+MIN(0,ROUND($R23*EFBPercent+EFBAdd,2)-$Q23)))</f>
        <v>0</v>
      </c>
      <c r="DI23" s="73">
        <f t="shared" si="34"/>
        <v>3546806.2199999997</v>
      </c>
      <c r="DJ23" s="73">
        <f t="shared" si="35"/>
        <v>286404.46000000002</v>
      </c>
      <c r="DK23" s="73">
        <f t="shared" si="36"/>
        <v>0</v>
      </c>
      <c r="DL23" s="73">
        <f t="shared" si="37"/>
        <v>0</v>
      </c>
      <c r="DM23" s="73">
        <f t="shared" si="38"/>
        <v>0</v>
      </c>
      <c r="DN23" s="73">
        <f t="shared" si="39"/>
        <v>0</v>
      </c>
      <c r="DO23" s="73">
        <f t="shared" si="40"/>
        <v>0</v>
      </c>
      <c r="DP23" s="73"/>
      <c r="DQ23" s="73"/>
    </row>
    <row r="24" spans="1:121" ht="10.199999999999999" x14ac:dyDescent="0.2">
      <c r="A24" s="4" t="s">
        <v>512</v>
      </c>
      <c r="B24" s="72">
        <v>1143</v>
      </c>
      <c r="C24" s="13" t="s">
        <v>38</v>
      </c>
      <c r="D24" s="4">
        <v>2027</v>
      </c>
      <c r="E24" s="4" t="s">
        <v>355</v>
      </c>
      <c r="F24" s="4">
        <v>1</v>
      </c>
      <c r="G24" s="4" t="s">
        <v>680</v>
      </c>
      <c r="H24" s="4">
        <v>100</v>
      </c>
      <c r="I24" s="4" t="s">
        <v>1152</v>
      </c>
      <c r="J24" s="5">
        <v>1942016.03</v>
      </c>
      <c r="K24" s="5">
        <v>182.94</v>
      </c>
      <c r="L24" s="5">
        <v>488.81</v>
      </c>
      <c r="M24" s="5">
        <v>0</v>
      </c>
      <c r="N24" s="5">
        <v>9451555</v>
      </c>
      <c r="O24" s="5">
        <v>0</v>
      </c>
      <c r="P24" s="5">
        <v>89.05</v>
      </c>
      <c r="Q24" s="5">
        <v>0</v>
      </c>
      <c r="R24" s="5">
        <v>0</v>
      </c>
      <c r="S24" s="5">
        <v>0</v>
      </c>
      <c r="T24" s="5">
        <v>269618.21999999997</v>
      </c>
      <c r="U24" s="5">
        <v>0</v>
      </c>
      <c r="V24" s="5">
        <v>2791.1</v>
      </c>
      <c r="W24" s="5">
        <v>3259.5199999999995</v>
      </c>
      <c r="X24" s="5">
        <v>12001.75</v>
      </c>
      <c r="Y24" s="5">
        <v>0</v>
      </c>
      <c r="Z24" s="5">
        <v>4</v>
      </c>
      <c r="AA24" s="5">
        <v>61</v>
      </c>
      <c r="AB24" s="5">
        <v>19</v>
      </c>
      <c r="AC24" s="5">
        <v>38</v>
      </c>
      <c r="AD24" s="5">
        <v>0</v>
      </c>
      <c r="AE24" s="5">
        <v>0</v>
      </c>
      <c r="AF24" s="5">
        <v>0</v>
      </c>
      <c r="AG24" s="5">
        <v>0</v>
      </c>
      <c r="AH24" s="5">
        <v>0.27700000000000002</v>
      </c>
      <c r="AI24" s="5">
        <v>0</v>
      </c>
      <c r="AJ24" s="5">
        <v>0</v>
      </c>
      <c r="AK24" s="5">
        <v>0</v>
      </c>
      <c r="AL24" s="5">
        <v>115.07</v>
      </c>
      <c r="AM24" s="5">
        <v>0</v>
      </c>
      <c r="AN24" s="5">
        <v>122</v>
      </c>
      <c r="AO24" s="5">
        <f t="shared" si="41"/>
        <v>0</v>
      </c>
      <c r="AP24" s="5">
        <f t="shared" si="49"/>
        <v>0</v>
      </c>
      <c r="AQ24" s="5">
        <v>0</v>
      </c>
      <c r="AR24" s="5">
        <v>0</v>
      </c>
      <c r="AS24" s="5">
        <v>0</v>
      </c>
      <c r="AT24" s="5">
        <v>89504</v>
      </c>
      <c r="AU24" s="5">
        <v>0</v>
      </c>
      <c r="AV24" s="5">
        <v>2636</v>
      </c>
      <c r="AW24" s="5">
        <v>488.81</v>
      </c>
      <c r="AX24" s="5">
        <v>1</v>
      </c>
      <c r="AY24" s="199">
        <v>0</v>
      </c>
      <c r="AZ24" s="199">
        <v>0</v>
      </c>
      <c r="BA24" s="5">
        <v>247689.62</v>
      </c>
      <c r="BB24" s="13">
        <v>571240.02</v>
      </c>
      <c r="BC24" s="101">
        <f>MAX(ROUND(IF(F24&lt;4,IF(H24=0,(SUM(Y24:AD24)*Worksheet!$E$26+Y24*Worksheet!$E$27+AR24*Worksheet!$E$39)*-BaseRate,0)),2),MIN(0,-DI24))</f>
        <v>0</v>
      </c>
      <c r="BD24" s="101">
        <f>MAX(ROUND(IF(F24=4,0,IF(I24=0,0,ROUND(SUM(Y24:AD24)*Worksheet!$E$28,2)*-BaseRate)),2),MIN(0,-DI24-BC24))</f>
        <v>-2791.92</v>
      </c>
      <c r="BE24" s="130">
        <f t="shared" si="23"/>
        <v>0</v>
      </c>
      <c r="BF24" s="130">
        <f t="shared" si="24"/>
        <v>1412</v>
      </c>
      <c r="BG24" s="73"/>
      <c r="BH24" s="118">
        <f t="shared" si="25"/>
        <v>43329.919999999998</v>
      </c>
      <c r="BI24" s="118">
        <f t="shared" si="26"/>
        <v>10615.59</v>
      </c>
      <c r="BJ24" s="232">
        <f>IFERROR(ROUND(IF(AND(BB24*1.12&lt;N24*60/1000,N24/CL24&lt;STVPP*0.2),(CL24*STVPP*0.2*Worksheet!$F$88/1000-BB24*1.12)*PropTaxAdj,IF(BB24*1.12&lt;N24*60/1000,(N24*60/1000-BB24*1.12)*PropTaxAdj,0)),2),0)</f>
        <v>0</v>
      </c>
      <c r="BK24" s="116">
        <f>ROUND(IF($F24=4,0,Y24*Worksheet!$E$16),2)</f>
        <v>0</v>
      </c>
      <c r="BL24" s="116">
        <f>ROUND(IF($F24=4,0,Z24*Worksheet!$E$17),2)</f>
        <v>4</v>
      </c>
      <c r="BM24" s="116">
        <f>ROUND(IF($F24=4,0,AA24*Worksheet!$E$18),2)</f>
        <v>61</v>
      </c>
      <c r="BN24" s="116">
        <f>ROUND(IF($F24=4,0,AB24*Worksheet!$E$19),2)</f>
        <v>19</v>
      </c>
      <c r="BO24" s="116">
        <f>ROUND(IF($F24=4,0,AC24*Worksheet!$E$20),2)</f>
        <v>38</v>
      </c>
      <c r="BP24" s="116">
        <f>ROUND(AD24*Worksheet!$E$21,2)</f>
        <v>0</v>
      </c>
      <c r="BQ24" s="116">
        <f t="shared" si="27"/>
        <v>122</v>
      </c>
      <c r="BR24" s="116">
        <f>ROUND(AD24*Worksheet!$E$25,2)</f>
        <v>0</v>
      </c>
      <c r="BS24" s="116">
        <f>ROUND(SUM(BQ24)*Worksheet!$E$26,2)</f>
        <v>10.74</v>
      </c>
      <c r="BT24" s="116">
        <f>ROUND(Y24*Worksheet!$E$27,2)</f>
        <v>0</v>
      </c>
      <c r="BU24" s="116">
        <f>ROUND(AO24*Worksheet!$E$29,2)</f>
        <v>0</v>
      </c>
      <c r="BV24" s="116">
        <f>ROUND(AP24*Worksheet!$E$30,2)</f>
        <v>0</v>
      </c>
      <c r="BW24" s="116">
        <f>ROUND(IF($I24&lt;&gt;0,$BQ24*Worksheet!$E$28,0),2)</f>
        <v>0.24</v>
      </c>
      <c r="BX24" s="116">
        <f>ROUND(AE24*Worksheet!$E$31,2)</f>
        <v>0</v>
      </c>
      <c r="BY24" s="116">
        <f>ROUND(AF24*Worksheet!$E$32,2)</f>
        <v>0</v>
      </c>
      <c r="BZ24" s="116">
        <f>ROUND(AG24*Worksheet!$E$33,2)</f>
        <v>0</v>
      </c>
      <c r="CA24" s="116">
        <f>ROUND(ROUND(AH24*BQ24,2)*Worksheet!$E$34,2)</f>
        <v>0.84</v>
      </c>
      <c r="CB24" s="116">
        <f>ROUND(AI24*Worksheet!$E$35,2)</f>
        <v>0</v>
      </c>
      <c r="CC24" s="116">
        <f>ROUND(AJ24*Worksheet!$E$36,2)</f>
        <v>0</v>
      </c>
      <c r="CD24" s="116">
        <f>ROUND(AQ24*Worksheet!$E$38,2)</f>
        <v>0</v>
      </c>
      <c r="CE24" s="116">
        <f>ROUND(AR24*Worksheet!$E$39,2)</f>
        <v>0</v>
      </c>
      <c r="CF24" s="116">
        <f>IF(AND(L24&gt;275,SUM(Y24:AD24)&lt;100),ROUND(SUM(Y24:AD24)*Worksheet!$E$41,2),0)</f>
        <v>0</v>
      </c>
      <c r="CG24" s="116">
        <f>IF(AND(L24&gt;600,SUM(Y24:AD24)&lt;50),ROUND((50-SUM(Y24:AD24))*(Worksheet!$E$41+1),2),0)</f>
        <v>0</v>
      </c>
      <c r="CH24" s="116">
        <f t="shared" si="28"/>
        <v>133.82000000000002</v>
      </c>
      <c r="CI24" s="116">
        <f t="shared" si="43"/>
        <v>0</v>
      </c>
      <c r="CJ24" s="116">
        <f t="shared" si="44"/>
        <v>133.82000000000002</v>
      </c>
      <c r="CK24" s="95">
        <f t="shared" si="29"/>
        <v>1.63</v>
      </c>
      <c r="CL24" s="116">
        <f t="shared" si="45"/>
        <v>218.13</v>
      </c>
      <c r="CM24" s="116">
        <f t="shared" si="46"/>
        <v>218.13</v>
      </c>
      <c r="CN24" s="116">
        <f t="shared" si="30"/>
        <v>2537506.29</v>
      </c>
      <c r="CO24" s="131">
        <f>ROUND(IF(F24=4,0,(MAX(ROUND(MAX((BI24*MIN(CL24,K24)*Worksheet!$D$126)+MAX(CL24-K24,0)*Worksheet!$F$50,SUM(J24)),2),SUM(CN24))-SUM(CN24))*MinAdj),2)</f>
        <v>0</v>
      </c>
      <c r="CP24" s="116">
        <f t="shared" si="31"/>
        <v>2537506.29</v>
      </c>
      <c r="CQ24" s="131">
        <f>IF(CL24=0,0,-MIN(CP24,MIN(CP24,ROUND(IF(ROUND(IF(CL24=0,0,N24/CL24),2)&lt;STVPP*0.2,STVPP*0.2*CL24*Worksheet!$F$88/1000,N24*Worksheet!$F$88/1000),2))))</f>
        <v>-567093.30000000005</v>
      </c>
      <c r="CR24" s="131">
        <f>-MIN(SUM(CP24,CQ24),IF($P24=0,(ROUND(Worksheet!$E$77*S24,2)+ROUND(Worksheet!$E$78*T24,2)+ROUND(Worksheet!$E$79*U24,2)+ROUND(Worksheet!$E$80*V24,2)+ROUND(Worksheet!$E$81*W24,2)+ROUND(Worksheet!$E$82*X24,2)),(ROUND(ROUND(S24*ROUND((1-$O24/$P24),4),2)*Worksheet!$E$77,2)+ROUND(ROUND(T24*ROUND((1-$O24/$P24),4),2)*Worksheet!$E$78,2)+ROUND(ROUND(U24*ROUND((1-$O24/$P24),4),2)*Worksheet!$E$79,2)+ROUND(ROUND(V24*ROUND((1-$O24/$P24),4),2)*Worksheet!$E$80,2)+ROUND(ROUND(W24*ROUND((1-$O24/$P24),4),2)*Worksheet!$E$81,2)+ROUND(ROUND(X24*ROUND((1-$O24/$P24),4),2)*Worksheet!$E$82,2))))</f>
        <v>-215752.95</v>
      </c>
      <c r="CS24" s="116">
        <f t="shared" si="32"/>
        <v>1754660.04</v>
      </c>
      <c r="CT24" s="116">
        <f>ROUND(MIN(BA24,ROUND((ROUND(AS24*Worksheet!$E$104,2)+ROUND(AV24*Worksheet!$E$107,2)+ROUND(AT24*Worksheet!$E$105,2)+ROUND(AW24*Worksheet!$E$108,2)+ROUND(AU24*Worksheet!$E$106,2)+ROUND(AX24*Worksheet!$E$109,2)+ROUND(AY24*Worksheet!$E$110,2)+ROUND(AZ24*Worksheet!$E$111,2))*Worksheet!$D$114,2))*BaseRate,2)</f>
        <v>140410.31</v>
      </c>
      <c r="CU24" s="121">
        <v>0</v>
      </c>
      <c r="CV24" s="121">
        <v>0</v>
      </c>
      <c r="CW24" s="121">
        <v>0</v>
      </c>
      <c r="CX24" s="121">
        <v>0</v>
      </c>
      <c r="CY24" s="121">
        <v>0</v>
      </c>
      <c r="DA24" s="116">
        <f t="shared" si="33"/>
        <v>0</v>
      </c>
      <c r="DB24" s="116">
        <f>MAX(-CT24,MIN(0,ROUND($R24*EFBPercent+EFBAdd,2)-$Q24),MIN(0,SUM($CS24:CS24)+MIN(0,ROUND($R24*EFBPercent+EFBAdd,2)-$Q24)))</f>
        <v>0</v>
      </c>
      <c r="DC24" s="192">
        <f>IF(CU24&lt;0,0,MAX(-CU24,MIN(0,ROUND($R24*EFBPercent+EFBAdd,2)-$Q24),MIN(0,SUM($CS24:CT24)+MIN(0,ROUND($R24*EFBPercent+EFBAdd,2)-$Q24))))</f>
        <v>0</v>
      </c>
      <c r="DD24" s="192">
        <f>IF(CV24&lt;0,0,MAX(-CV24,MIN(0,ROUND($R24*EFBPercent+EFBAdd,2)-$Q24),MIN(0,SUM($CS24:CU24)+MIN(0,ROUND($R24*EFBPercent+EFBAdd,2)-$Q24))))</f>
        <v>0</v>
      </c>
      <c r="DE24" s="192">
        <f>IF(CW24&lt;0,0,MAX(-CW24,MIN(0,ROUND($R24*EFBPercent+EFBAdd,2)-$Q24),MIN(0,SUM($CS24:CV24)+MIN(0,ROUND($R24*EFBPercent+EFBAdd,2)-$Q24))))</f>
        <v>0</v>
      </c>
      <c r="DF24" s="192">
        <f>IF(CX24&lt;0,0,MAX(-CX24,MIN(0,ROUND($R24*EFBPercent+EFBAdd,2)-$Q24),MIN(0,SUM($CS24:CW24)+MIN(0,ROUND($R24*EFBPercent+EFBAdd,2)-$Q24))))</f>
        <v>0</v>
      </c>
      <c r="DG24" s="116">
        <f>MAX(-CY24,MIN(0,ROUND($R24*EFBPercent+EFBAdd,2)-$Q24),MIN(0,SUM($CS24:CX24)+MIN(0,ROUND($R24*EFBPercent+EFBAdd,2)-$Q24)))</f>
        <v>0</v>
      </c>
      <c r="DI24" s="73">
        <f t="shared" si="34"/>
        <v>1754660.04</v>
      </c>
      <c r="DJ24" s="73">
        <f t="shared" si="35"/>
        <v>140410.31</v>
      </c>
      <c r="DK24" s="73">
        <f t="shared" si="36"/>
        <v>0</v>
      </c>
      <c r="DL24" s="73">
        <f t="shared" si="37"/>
        <v>0</v>
      </c>
      <c r="DM24" s="73">
        <f t="shared" si="38"/>
        <v>0</v>
      </c>
      <c r="DN24" s="73">
        <f t="shared" si="39"/>
        <v>0</v>
      </c>
      <c r="DO24" s="73">
        <f t="shared" si="40"/>
        <v>0</v>
      </c>
      <c r="DP24" s="73"/>
      <c r="DQ24" s="73"/>
    </row>
    <row r="25" spans="1:121" ht="10.199999999999999" x14ac:dyDescent="0.2">
      <c r="A25" s="4" t="s">
        <v>513</v>
      </c>
      <c r="B25" s="72">
        <v>1014</v>
      </c>
      <c r="C25" s="13" t="s">
        <v>39</v>
      </c>
      <c r="D25" s="4">
        <v>2027</v>
      </c>
      <c r="E25" s="4" t="s">
        <v>356</v>
      </c>
      <c r="F25" s="4">
        <v>1</v>
      </c>
      <c r="G25" s="4" t="s">
        <v>673</v>
      </c>
      <c r="H25" s="4">
        <v>100</v>
      </c>
      <c r="I25" s="4" t="s">
        <v>1091</v>
      </c>
      <c r="J25" s="5">
        <v>1701209.71</v>
      </c>
      <c r="K25" s="5">
        <v>118.61</v>
      </c>
      <c r="L25" s="5">
        <v>342</v>
      </c>
      <c r="M25" s="5">
        <v>0</v>
      </c>
      <c r="N25" s="5">
        <v>8496054</v>
      </c>
      <c r="O25" s="5">
        <v>0</v>
      </c>
      <c r="P25" s="5">
        <v>71.949999999999989</v>
      </c>
      <c r="Q25" s="5">
        <v>0</v>
      </c>
      <c r="R25" s="5">
        <v>0</v>
      </c>
      <c r="S25" s="5">
        <v>0</v>
      </c>
      <c r="T25" s="5">
        <v>420625.97000000003</v>
      </c>
      <c r="U25" s="5">
        <v>0</v>
      </c>
      <c r="V25" s="5">
        <v>5751.01</v>
      </c>
      <c r="W25" s="5">
        <v>6618.35</v>
      </c>
      <c r="X25" s="5">
        <v>5913.4500000000007</v>
      </c>
      <c r="Y25" s="5">
        <v>0.1</v>
      </c>
      <c r="Z25" s="5">
        <v>9</v>
      </c>
      <c r="AA25" s="5">
        <v>40</v>
      </c>
      <c r="AB25" s="5">
        <v>14</v>
      </c>
      <c r="AC25" s="5">
        <v>26</v>
      </c>
      <c r="AD25" s="5">
        <v>0</v>
      </c>
      <c r="AE25" s="5">
        <v>0</v>
      </c>
      <c r="AF25" s="5">
        <v>0</v>
      </c>
      <c r="AG25" s="5">
        <v>0</v>
      </c>
      <c r="AH25" s="5">
        <v>0.29799999999999999</v>
      </c>
      <c r="AI25" s="5">
        <v>0</v>
      </c>
      <c r="AJ25" s="5">
        <v>0</v>
      </c>
      <c r="AK25" s="5">
        <v>0</v>
      </c>
      <c r="AL25" s="5">
        <v>88.46</v>
      </c>
      <c r="AM25" s="5">
        <v>0</v>
      </c>
      <c r="AN25" s="5">
        <v>89</v>
      </c>
      <c r="AO25" s="5">
        <f t="shared" si="41"/>
        <v>0</v>
      </c>
      <c r="AP25" s="5">
        <f t="shared" si="49"/>
        <v>0</v>
      </c>
      <c r="AQ25" s="5">
        <v>0</v>
      </c>
      <c r="AR25" s="5">
        <v>0</v>
      </c>
      <c r="AS25" s="5">
        <v>0</v>
      </c>
      <c r="AT25" s="5">
        <v>23596</v>
      </c>
      <c r="AU25" s="5">
        <v>0</v>
      </c>
      <c r="AV25" s="5">
        <v>680</v>
      </c>
      <c r="AW25" s="5">
        <v>342</v>
      </c>
      <c r="AX25" s="5">
        <v>1</v>
      </c>
      <c r="AY25" s="199">
        <v>0</v>
      </c>
      <c r="AZ25" s="199">
        <v>0</v>
      </c>
      <c r="BA25" s="5">
        <v>134663.98000000001</v>
      </c>
      <c r="BB25" s="13">
        <v>504944.22</v>
      </c>
      <c r="BC25" s="101">
        <f>MAX(ROUND(IF(F25&lt;4,IF(H25=0,(SUM(Y25:AD25)*Worksheet!$E$26+Y25*Worksheet!$E$27+AR25*Worksheet!$E$39)*-BaseRate,0)),2),MIN(0,-DI25))</f>
        <v>0</v>
      </c>
      <c r="BD25" s="101">
        <f>MAX(ROUND(IF(F25=4,0,IF(I25=0,0,ROUND(SUM(Y25:AD25)*Worksheet!$E$28,2)*-BaseRate)),2),MIN(0,-DI25-BC25))</f>
        <v>-2093.94</v>
      </c>
      <c r="BE25" s="130">
        <f t="shared" si="23"/>
        <v>0</v>
      </c>
      <c r="BF25" s="130">
        <f t="shared" si="24"/>
        <v>1403</v>
      </c>
      <c r="BG25" s="73"/>
      <c r="BH25" s="118">
        <f t="shared" si="25"/>
        <v>47674.400000000001</v>
      </c>
      <c r="BI25" s="118">
        <f t="shared" si="26"/>
        <v>14342.89</v>
      </c>
      <c r="BJ25" s="232">
        <f>IFERROR(ROUND(IF(AND(BB25*1.12&lt;N25*60/1000,N25/CL25&lt;STVPP*0.2),(CL25*STVPP*0.2*Worksheet!$F$88/1000-BB25*1.12)*PropTaxAdj,IF(BB25*1.12&lt;N25*60/1000,(N25*60/1000-BB25*1.12)*PropTaxAdj,0)),2),0)</f>
        <v>0</v>
      </c>
      <c r="BK25" s="116">
        <f>ROUND(IF($F25=4,0,Y25*Worksheet!$E$16),2)</f>
        <v>0.1</v>
      </c>
      <c r="BL25" s="116">
        <f>ROUND(IF($F25=4,0,Z25*Worksheet!$E$17),2)</f>
        <v>9</v>
      </c>
      <c r="BM25" s="116">
        <f>ROUND(IF($F25=4,0,AA25*Worksheet!$E$18),2)</f>
        <v>40</v>
      </c>
      <c r="BN25" s="116">
        <f>ROUND(IF($F25=4,0,AB25*Worksheet!$E$19),2)</f>
        <v>14</v>
      </c>
      <c r="BO25" s="116">
        <f>ROUND(IF($F25=4,0,AC25*Worksheet!$E$20),2)</f>
        <v>26</v>
      </c>
      <c r="BP25" s="116">
        <f>ROUND(AD25*Worksheet!$E$21,2)</f>
        <v>0</v>
      </c>
      <c r="BQ25" s="116">
        <f t="shared" si="27"/>
        <v>89.1</v>
      </c>
      <c r="BR25" s="116">
        <f>ROUND(AD25*Worksheet!$E$25,2)</f>
        <v>0</v>
      </c>
      <c r="BS25" s="116">
        <f>ROUND(SUM(BQ25)*Worksheet!$E$26,2)</f>
        <v>7.84</v>
      </c>
      <c r="BT25" s="116">
        <f>ROUND(Y25*Worksheet!$E$27,2)</f>
        <v>0.02</v>
      </c>
      <c r="BU25" s="116">
        <f>ROUND(AO25*Worksheet!$E$29,2)</f>
        <v>0</v>
      </c>
      <c r="BV25" s="116">
        <f>ROUND(AP25*Worksheet!$E$30,2)</f>
        <v>0</v>
      </c>
      <c r="BW25" s="116">
        <f>ROUND(IF($I25&lt;&gt;0,$BQ25*Worksheet!$E$28,0),2)</f>
        <v>0.18</v>
      </c>
      <c r="BX25" s="116">
        <f>ROUND(AE25*Worksheet!$E$31,2)</f>
        <v>0</v>
      </c>
      <c r="BY25" s="116">
        <f>ROUND(AF25*Worksheet!$E$32,2)</f>
        <v>0</v>
      </c>
      <c r="BZ25" s="116">
        <f>ROUND(AG25*Worksheet!$E$33,2)</f>
        <v>0</v>
      </c>
      <c r="CA25" s="116">
        <f>ROUND(ROUND(AH25*BQ25,2)*Worksheet!$E$34,2)</f>
        <v>0.66</v>
      </c>
      <c r="CB25" s="116">
        <f>ROUND(AI25*Worksheet!$E$35,2)</f>
        <v>0</v>
      </c>
      <c r="CC25" s="116">
        <f>ROUND(AJ25*Worksheet!$E$36,2)</f>
        <v>0</v>
      </c>
      <c r="CD25" s="116">
        <f>ROUND(AQ25*Worksheet!$E$38,2)</f>
        <v>0</v>
      </c>
      <c r="CE25" s="116">
        <f>ROUND(AR25*Worksheet!$E$39,2)</f>
        <v>0</v>
      </c>
      <c r="CF25" s="116">
        <f>IF(AND(L25&gt;275,SUM(Y25:AD25)&lt;100),ROUND(SUM(Y25:AD25)*Worksheet!$E$41,2),0)</f>
        <v>8.91</v>
      </c>
      <c r="CG25" s="116">
        <f>IF(AND(L25&gt;600,SUM(Y25:AD25)&lt;50),ROUND((50-SUM(Y25:AD25))*(Worksheet!$E$41+1),2),0)</f>
        <v>0</v>
      </c>
      <c r="CH25" s="116">
        <f t="shared" si="28"/>
        <v>106.71</v>
      </c>
      <c r="CI25" s="116">
        <f t="shared" si="43"/>
        <v>0</v>
      </c>
      <c r="CJ25" s="116">
        <f t="shared" si="44"/>
        <v>106.71</v>
      </c>
      <c r="CK25" s="95">
        <f t="shared" si="29"/>
        <v>1.67</v>
      </c>
      <c r="CL25" s="116">
        <f t="shared" si="45"/>
        <v>178.21</v>
      </c>
      <c r="CM25" s="116">
        <f t="shared" si="46"/>
        <v>178.21</v>
      </c>
      <c r="CN25" s="116">
        <f t="shared" si="30"/>
        <v>2073116.93</v>
      </c>
      <c r="CO25" s="131">
        <f>ROUND(IF(F25=4,0,(MAX(ROUND(MAX((BI25*MIN(CL25,K25)*Worksheet!$D$126)+MAX(CL25-K25,0)*Worksheet!$F$50,SUM(J25)),2),SUM(CN25))-SUM(CN25))*MinAdj),2)</f>
        <v>53316.639999999999</v>
      </c>
      <c r="CP25" s="116">
        <f t="shared" si="31"/>
        <v>2126433.5699999998</v>
      </c>
      <c r="CQ25" s="131">
        <f>IF(CL25=0,0,-MIN(CP25,MIN(CP25,ROUND(IF(ROUND(IF(CL25=0,0,N25/CL25),2)&lt;STVPP*0.2,STVPP*0.2*CL25*Worksheet!$F$88/1000,N25*Worksheet!$F$88/1000),2))))</f>
        <v>-509763.24</v>
      </c>
      <c r="CR25" s="131">
        <f>-MIN(SUM(CP25,CQ25),IF($P25=0,(ROUND(Worksheet!$E$77*S25,2)+ROUND(Worksheet!$E$78*T25,2)+ROUND(Worksheet!$E$79*U25,2)+ROUND(Worksheet!$E$80*V25,2)+ROUND(Worksheet!$E$81*W25,2)+ROUND(Worksheet!$E$82*X25,2)),(ROUND(ROUND(S25*ROUND((1-$O25/$P25),4),2)*Worksheet!$E$77,2)+ROUND(ROUND(T25*ROUND((1-$O25/$P25),4),2)*Worksheet!$E$78,2)+ROUND(ROUND(U25*ROUND((1-$O25/$P25),4),2)*Worksheet!$E$79,2)+ROUND(ROUND(V25*ROUND((1-$O25/$P25),4),2)*Worksheet!$E$80,2)+ROUND(ROUND(W25*ROUND((1-$O25/$P25),4),2)*Worksheet!$E$81,2)+ROUND(ROUND(X25*ROUND((1-$O25/$P25),4),2)*Worksheet!$E$82,2))))</f>
        <v>-329181.59000000003</v>
      </c>
      <c r="CS25" s="116">
        <f t="shared" si="32"/>
        <v>1287488.7399999998</v>
      </c>
      <c r="CT25" s="116">
        <f>ROUND(MIN(BA25,ROUND((ROUND(AS25*Worksheet!$E$104,2)+ROUND(AV25*Worksheet!$E$107,2)+ROUND(AT25*Worksheet!$E$105,2)+ROUND(AW25*Worksheet!$E$108,2)+ROUND(AU25*Worksheet!$E$106,2)+ROUND(AX25*Worksheet!$E$109,2)+ROUND(AY25*Worksheet!$E$110,2)+ROUND(AZ25*Worksheet!$E$111,2))*Worksheet!$D$114,2))*BaseRate,2)</f>
        <v>41180.82</v>
      </c>
      <c r="CU25" s="121">
        <v>0</v>
      </c>
      <c r="CV25" s="121">
        <v>0</v>
      </c>
      <c r="CW25" s="121">
        <v>0</v>
      </c>
      <c r="CX25" s="121">
        <v>0</v>
      </c>
      <c r="CY25" s="121">
        <v>0</v>
      </c>
      <c r="DA25" s="116">
        <f t="shared" si="33"/>
        <v>0</v>
      </c>
      <c r="DB25" s="116">
        <f>MAX(-CT25,MIN(0,ROUND($R25*EFBPercent+EFBAdd,2)-$Q25),MIN(0,SUM($CS25:CS25)+MIN(0,ROUND($R25*EFBPercent+EFBAdd,2)-$Q25)))</f>
        <v>0</v>
      </c>
      <c r="DC25" s="192">
        <f>IF(CU25&lt;0,0,MAX(-CU25,MIN(0,ROUND($R25*EFBPercent+EFBAdd,2)-$Q25),MIN(0,SUM($CS25:CT25)+MIN(0,ROUND($R25*EFBPercent+EFBAdd,2)-$Q25))))</f>
        <v>0</v>
      </c>
      <c r="DD25" s="192">
        <f>IF(CV25&lt;0,0,MAX(-CV25,MIN(0,ROUND($R25*EFBPercent+EFBAdd,2)-$Q25),MIN(0,SUM($CS25:CU25)+MIN(0,ROUND($R25*EFBPercent+EFBAdd,2)-$Q25))))</f>
        <v>0</v>
      </c>
      <c r="DE25" s="192">
        <f>IF(CW25&lt;0,0,MAX(-CW25,MIN(0,ROUND($R25*EFBPercent+EFBAdd,2)-$Q25),MIN(0,SUM($CS25:CV25)+MIN(0,ROUND($R25*EFBPercent+EFBAdd,2)-$Q25))))</f>
        <v>0</v>
      </c>
      <c r="DF25" s="192">
        <f>IF(CX25&lt;0,0,MAX(-CX25,MIN(0,ROUND($R25*EFBPercent+EFBAdd,2)-$Q25),MIN(0,SUM($CS25:CW25)+MIN(0,ROUND($R25*EFBPercent+EFBAdd,2)-$Q25))))</f>
        <v>0</v>
      </c>
      <c r="DG25" s="116">
        <f>MAX(-CY25,MIN(0,ROUND($R25*EFBPercent+EFBAdd,2)-$Q25),MIN(0,SUM($CS25:CX25)+MIN(0,ROUND($R25*EFBPercent+EFBAdd,2)-$Q25)))</f>
        <v>0</v>
      </c>
      <c r="DI25" s="73">
        <f t="shared" si="34"/>
        <v>1287488.7399999998</v>
      </c>
      <c r="DJ25" s="73">
        <f t="shared" si="35"/>
        <v>41180.82</v>
      </c>
      <c r="DK25" s="73">
        <f t="shared" si="36"/>
        <v>0</v>
      </c>
      <c r="DL25" s="73">
        <f t="shared" si="37"/>
        <v>0</v>
      </c>
      <c r="DM25" s="73">
        <f t="shared" si="38"/>
        <v>0</v>
      </c>
      <c r="DN25" s="73">
        <f t="shared" si="39"/>
        <v>0</v>
      </c>
      <c r="DO25" s="73">
        <f t="shared" si="40"/>
        <v>0</v>
      </c>
      <c r="DP25" s="73"/>
      <c r="DQ25" s="73"/>
    </row>
    <row r="26" spans="1:121" ht="10.199999999999999" x14ac:dyDescent="0.2">
      <c r="A26" s="4" t="s">
        <v>514</v>
      </c>
      <c r="B26" s="72">
        <v>1134</v>
      </c>
      <c r="C26" s="13" t="s">
        <v>40</v>
      </c>
      <c r="D26" s="4">
        <v>2027</v>
      </c>
      <c r="E26" s="4" t="s">
        <v>357</v>
      </c>
      <c r="F26" s="4">
        <v>1</v>
      </c>
      <c r="G26" s="4" t="s">
        <v>673</v>
      </c>
      <c r="H26" s="4">
        <v>100</v>
      </c>
      <c r="I26" s="4" t="s">
        <v>1152</v>
      </c>
      <c r="J26" s="5">
        <v>2826610.35</v>
      </c>
      <c r="K26" s="5">
        <v>252.23</v>
      </c>
      <c r="L26" s="5">
        <v>396</v>
      </c>
      <c r="M26" s="5">
        <v>0</v>
      </c>
      <c r="N26" s="5">
        <v>10143581</v>
      </c>
      <c r="O26" s="5">
        <v>19.91</v>
      </c>
      <c r="P26" s="5">
        <v>119.44999999999999</v>
      </c>
      <c r="Q26" s="5">
        <v>0</v>
      </c>
      <c r="R26" s="5">
        <v>0</v>
      </c>
      <c r="S26" s="5">
        <v>0</v>
      </c>
      <c r="T26" s="5">
        <v>1023633.75</v>
      </c>
      <c r="U26" s="5">
        <v>0</v>
      </c>
      <c r="V26" s="5">
        <v>47789.07</v>
      </c>
      <c r="W26" s="5">
        <v>9231.99</v>
      </c>
      <c r="X26" s="5">
        <v>4706.25</v>
      </c>
      <c r="Y26" s="5">
        <v>1.19</v>
      </c>
      <c r="Z26" s="5">
        <v>14</v>
      </c>
      <c r="AA26" s="5">
        <v>98</v>
      </c>
      <c r="AB26" s="5">
        <v>40</v>
      </c>
      <c r="AC26" s="5">
        <v>64</v>
      </c>
      <c r="AD26" s="5">
        <v>0</v>
      </c>
      <c r="AE26" s="5">
        <v>0</v>
      </c>
      <c r="AF26" s="5">
        <v>0</v>
      </c>
      <c r="AG26" s="5">
        <v>0</v>
      </c>
      <c r="AH26" s="5">
        <v>0.153</v>
      </c>
      <c r="AI26" s="5">
        <v>0</v>
      </c>
      <c r="AJ26" s="5">
        <v>0</v>
      </c>
      <c r="AK26" s="5">
        <v>0</v>
      </c>
      <c r="AL26" s="5">
        <v>215.83999999999997</v>
      </c>
      <c r="AM26" s="5">
        <v>4.910000000000025</v>
      </c>
      <c r="AN26" s="5">
        <v>216</v>
      </c>
      <c r="AO26" s="5">
        <f t="shared" si="41"/>
        <v>0</v>
      </c>
      <c r="AP26" s="5">
        <f t="shared" si="49"/>
        <v>0</v>
      </c>
      <c r="AQ26" s="5">
        <v>0</v>
      </c>
      <c r="AR26" s="5">
        <v>0</v>
      </c>
      <c r="AS26" s="5">
        <v>0</v>
      </c>
      <c r="AT26" s="5">
        <v>85925</v>
      </c>
      <c r="AU26" s="5">
        <v>0</v>
      </c>
      <c r="AV26" s="5">
        <v>1750</v>
      </c>
      <c r="AW26" s="5">
        <v>396</v>
      </c>
      <c r="AX26" s="5">
        <v>1</v>
      </c>
      <c r="AY26" s="199">
        <v>0</v>
      </c>
      <c r="AZ26" s="199">
        <v>0</v>
      </c>
      <c r="BA26" s="5">
        <v>282749.19</v>
      </c>
      <c r="BB26" s="13">
        <v>591820.19999999995</v>
      </c>
      <c r="BC26" s="101">
        <f>MAX(ROUND(IF(F26&lt;4,IF(H26=0,(SUM(Y26:AD26)*Worksheet!$E$26+Y26*Worksheet!$E$27+AR26*Worksheet!$E$39)*-BaseRate,0)),2),MIN(0,-DI26))</f>
        <v>0</v>
      </c>
      <c r="BD26" s="101">
        <f>MAX(ROUND(IF(F26=4,0,IF(I26=0,0,ROUND(SUM(Y26:AD26)*Worksheet!$E$28,2)*-BaseRate)),2),MIN(0,-DI26-BC26))</f>
        <v>-5002.1899999999996</v>
      </c>
      <c r="BE26" s="130">
        <f t="shared" si="23"/>
        <v>0</v>
      </c>
      <c r="BF26" s="130">
        <f t="shared" si="24"/>
        <v>1412</v>
      </c>
      <c r="BG26" s="73"/>
      <c r="BH26" s="118">
        <f t="shared" si="25"/>
        <v>33937.51</v>
      </c>
      <c r="BI26" s="118">
        <f t="shared" si="26"/>
        <v>11206.48</v>
      </c>
      <c r="BJ26" s="232">
        <f>IFERROR(ROUND(IF(AND(BB26*1.12&lt;N26*60/1000,N26/CL26&lt;STVPP*0.2),(CL26*STVPP*0.2*Worksheet!$F$88/1000-BB26*1.12)*PropTaxAdj,IF(BB26*1.12&lt;N26*60/1000,(N26*60/1000-BB26*1.12)*PropTaxAdj,0)),2),0)</f>
        <v>0</v>
      </c>
      <c r="BK26" s="116">
        <f>ROUND(IF($F26=4,0,Y26*Worksheet!$E$16),2)</f>
        <v>1.19</v>
      </c>
      <c r="BL26" s="116">
        <f>ROUND(IF($F26=4,0,Z26*Worksheet!$E$17),2)</f>
        <v>14</v>
      </c>
      <c r="BM26" s="116">
        <f>ROUND(IF($F26=4,0,AA26*Worksheet!$E$18),2)</f>
        <v>98</v>
      </c>
      <c r="BN26" s="116">
        <f>ROUND(IF($F26=4,0,AB26*Worksheet!$E$19),2)</f>
        <v>40</v>
      </c>
      <c r="BO26" s="116">
        <f>ROUND(IF($F26=4,0,AC26*Worksheet!$E$20),2)</f>
        <v>64</v>
      </c>
      <c r="BP26" s="116">
        <f>ROUND(AD26*Worksheet!$E$21,2)</f>
        <v>0</v>
      </c>
      <c r="BQ26" s="116">
        <f t="shared" si="27"/>
        <v>217.19</v>
      </c>
      <c r="BR26" s="116">
        <f>ROUND(AD26*Worksheet!$E$25,2)</f>
        <v>0</v>
      </c>
      <c r="BS26" s="116">
        <f>ROUND(SUM(BQ26)*Worksheet!$E$26,2)</f>
        <v>19.11</v>
      </c>
      <c r="BT26" s="116">
        <f>ROUND(Y26*Worksheet!$E$27,2)</f>
        <v>0.2</v>
      </c>
      <c r="BU26" s="116">
        <f>ROUND(AO26*Worksheet!$E$29,2)</f>
        <v>0</v>
      </c>
      <c r="BV26" s="116">
        <f>ROUND(AP26*Worksheet!$E$30,2)</f>
        <v>0</v>
      </c>
      <c r="BW26" s="116">
        <f>ROUND(IF($I26&lt;&gt;0,$BQ26*Worksheet!$E$28,0),2)</f>
        <v>0.43</v>
      </c>
      <c r="BX26" s="116">
        <f>ROUND(AE26*Worksheet!$E$31,2)</f>
        <v>0</v>
      </c>
      <c r="BY26" s="116">
        <f>ROUND(AF26*Worksheet!$E$32,2)</f>
        <v>0</v>
      </c>
      <c r="BZ26" s="116">
        <f>ROUND(AG26*Worksheet!$E$33,2)</f>
        <v>0</v>
      </c>
      <c r="CA26" s="116">
        <f>ROUND(ROUND(AH26*BQ26,2)*Worksheet!$E$34,2)</f>
        <v>0.83</v>
      </c>
      <c r="CB26" s="116">
        <f>ROUND(AI26*Worksheet!$E$35,2)</f>
        <v>0</v>
      </c>
      <c r="CC26" s="116">
        <f>ROUND(AJ26*Worksheet!$E$36,2)</f>
        <v>0</v>
      </c>
      <c r="CD26" s="116">
        <f>ROUND(AQ26*Worksheet!$E$38,2)</f>
        <v>0</v>
      </c>
      <c r="CE26" s="116">
        <f>ROUND(AR26*Worksheet!$E$39,2)</f>
        <v>0</v>
      </c>
      <c r="CF26" s="116">
        <f>IF(AND(L26&gt;275,SUM(Y26:AD26)&lt;100),ROUND(SUM(Y26:AD26)*Worksheet!$E$41,2),0)</f>
        <v>0</v>
      </c>
      <c r="CG26" s="116">
        <f>IF(AND(L26&gt;600,SUM(Y26:AD26)&lt;50),ROUND((50-SUM(Y26:AD26))*(Worksheet!$E$41+1),2),0)</f>
        <v>0</v>
      </c>
      <c r="CH26" s="116">
        <f t="shared" si="28"/>
        <v>237.76000000000002</v>
      </c>
      <c r="CI26" s="116">
        <f t="shared" si="43"/>
        <v>0</v>
      </c>
      <c r="CJ26" s="116">
        <f t="shared" si="44"/>
        <v>237.76000000000002</v>
      </c>
      <c r="CK26" s="95">
        <f t="shared" si="29"/>
        <v>1.2571000000000001</v>
      </c>
      <c r="CL26" s="116">
        <f t="shared" si="45"/>
        <v>298.89</v>
      </c>
      <c r="CM26" s="116">
        <f t="shared" si="46"/>
        <v>298.89</v>
      </c>
      <c r="CN26" s="116">
        <f t="shared" si="30"/>
        <v>3476987.37</v>
      </c>
      <c r="CO26" s="131">
        <f>ROUND(IF(F26=4,0,(MAX(ROUND(MAX((BI26*MIN(CL26,K26)*Worksheet!$D$126)+MAX(CL26-K26,0)*Worksheet!$F$50,SUM(J26)),2),SUM(CN26))-SUM(CN26))*MinAdj),2)</f>
        <v>0</v>
      </c>
      <c r="CP26" s="116">
        <f t="shared" si="31"/>
        <v>3476987.37</v>
      </c>
      <c r="CQ26" s="131">
        <f>IF(CL26=0,0,-MIN(CP26,MIN(CP26,ROUND(IF(ROUND(IF(CL26=0,0,N26/CL26),2)&lt;STVPP*0.2,STVPP*0.2*CL26*Worksheet!$F$88/1000,N26*Worksheet!$F$88/1000),2))))</f>
        <v>-608614.86</v>
      </c>
      <c r="CR26" s="131">
        <f>-MIN(SUM(CP26,CQ26),IF($P26=0,(ROUND(Worksheet!$E$77*S26,2)+ROUND(Worksheet!$E$78*T26,2)+ROUND(Worksheet!$E$79*U26,2)+ROUND(Worksheet!$E$80*V26,2)+ROUND(Worksheet!$E$81*W26,2)+ROUND(Worksheet!$E$82*X26,2)),(ROUND(ROUND(S26*ROUND((1-$O26/$P26),4),2)*Worksheet!$E$77,2)+ROUND(ROUND(T26*ROUND((1-$O26/$P26),4),2)*Worksheet!$E$78,2)+ROUND(ROUND(U26*ROUND((1-$O26/$P26),4),2)*Worksheet!$E$79,2)+ROUND(ROUND(V26*ROUND((1-$O26/$P26),4),2)*Worksheet!$E$80,2)+ROUND(ROUND(W26*ROUND((1-$O26/$P26),4),2)*Worksheet!$E$81,2)+ROUND(ROUND(X26*ROUND((1-$O26/$P26),4),2)*Worksheet!$E$82,2))))</f>
        <v>-678323.53</v>
      </c>
      <c r="CS26" s="116">
        <f t="shared" si="32"/>
        <v>2190048.9800000004</v>
      </c>
      <c r="CT26" s="116">
        <f>ROUND(MIN(BA26,ROUND((ROUND(AS26*Worksheet!$E$104,2)+ROUND(AV26*Worksheet!$E$107,2)+ROUND(AT26*Worksheet!$E$105,2)+ROUND(AW26*Worksheet!$E$108,2)+ROUND(AU26*Worksheet!$E$106,2)+ROUND(AX26*Worksheet!$E$109,2)+ROUND(AY26*Worksheet!$E$110,2)+ROUND(AZ26*Worksheet!$E$111,2))*Worksheet!$D$114,2))*BaseRate,2)</f>
        <v>125752.73</v>
      </c>
      <c r="CU26" s="121">
        <v>0</v>
      </c>
      <c r="CV26" s="121">
        <v>0</v>
      </c>
      <c r="CW26" s="121">
        <v>0</v>
      </c>
      <c r="CX26" s="121">
        <v>0</v>
      </c>
      <c r="CY26" s="121">
        <v>0</v>
      </c>
      <c r="DA26" s="116">
        <f t="shared" si="33"/>
        <v>0</v>
      </c>
      <c r="DB26" s="116">
        <f>MAX(-CT26,MIN(0,ROUND($R26*EFBPercent+EFBAdd,2)-$Q26),MIN(0,SUM($CS26:CS26)+MIN(0,ROUND($R26*EFBPercent+EFBAdd,2)-$Q26)))</f>
        <v>0</v>
      </c>
      <c r="DC26" s="192">
        <f>IF(CU26&lt;0,0,MAX(-CU26,MIN(0,ROUND($R26*EFBPercent+EFBAdd,2)-$Q26),MIN(0,SUM($CS26:CT26)+MIN(0,ROUND($R26*EFBPercent+EFBAdd,2)-$Q26))))</f>
        <v>0</v>
      </c>
      <c r="DD26" s="192">
        <f>IF(CV26&lt;0,0,MAX(-CV26,MIN(0,ROUND($R26*EFBPercent+EFBAdd,2)-$Q26),MIN(0,SUM($CS26:CU26)+MIN(0,ROUND($R26*EFBPercent+EFBAdd,2)-$Q26))))</f>
        <v>0</v>
      </c>
      <c r="DE26" s="192">
        <f>IF(CW26&lt;0,0,MAX(-CW26,MIN(0,ROUND($R26*EFBPercent+EFBAdd,2)-$Q26),MIN(0,SUM($CS26:CV26)+MIN(0,ROUND($R26*EFBPercent+EFBAdd,2)-$Q26))))</f>
        <v>0</v>
      </c>
      <c r="DF26" s="192">
        <f>IF(CX26&lt;0,0,MAX(-CX26,MIN(0,ROUND($R26*EFBPercent+EFBAdd,2)-$Q26),MIN(0,SUM($CS26:CW26)+MIN(0,ROUND($R26*EFBPercent+EFBAdd,2)-$Q26))))</f>
        <v>0</v>
      </c>
      <c r="DG26" s="116">
        <f>MAX(-CY26,MIN(0,ROUND($R26*EFBPercent+EFBAdd,2)-$Q26),MIN(0,SUM($CS26:CX26)+MIN(0,ROUND($R26*EFBPercent+EFBAdd,2)-$Q26)))</f>
        <v>0</v>
      </c>
      <c r="DI26" s="73">
        <f t="shared" si="34"/>
        <v>2190048.9800000004</v>
      </c>
      <c r="DJ26" s="73">
        <f t="shared" si="35"/>
        <v>125752.73</v>
      </c>
      <c r="DK26" s="73">
        <f t="shared" si="36"/>
        <v>0</v>
      </c>
      <c r="DL26" s="73">
        <f t="shared" si="37"/>
        <v>0</v>
      </c>
      <c r="DM26" s="73">
        <f t="shared" si="38"/>
        <v>0</v>
      </c>
      <c r="DN26" s="73">
        <f t="shared" si="39"/>
        <v>0</v>
      </c>
      <c r="DO26" s="73">
        <f t="shared" si="40"/>
        <v>0</v>
      </c>
      <c r="DP26" s="73"/>
      <c r="DQ26" s="73"/>
    </row>
    <row r="27" spans="1:121" ht="10.199999999999999" x14ac:dyDescent="0.2">
      <c r="A27" s="4" t="s">
        <v>515</v>
      </c>
      <c r="B27" s="72">
        <v>1017</v>
      </c>
      <c r="C27" s="13" t="s">
        <v>41</v>
      </c>
      <c r="D27" s="4">
        <v>2027</v>
      </c>
      <c r="E27" s="4" t="s">
        <v>358</v>
      </c>
      <c r="F27" s="4">
        <v>1</v>
      </c>
      <c r="G27" s="4" t="s">
        <v>673</v>
      </c>
      <c r="H27" s="4">
        <v>100</v>
      </c>
      <c r="I27" s="4" t="s">
        <v>1152</v>
      </c>
      <c r="J27" s="5">
        <v>1771084.4000000001</v>
      </c>
      <c r="K27" s="5">
        <v>157.37</v>
      </c>
      <c r="L27" s="5">
        <v>398.5</v>
      </c>
      <c r="M27" s="5">
        <v>0</v>
      </c>
      <c r="N27" s="5">
        <v>10290291</v>
      </c>
      <c r="O27" s="5">
        <v>0</v>
      </c>
      <c r="P27" s="5">
        <v>86.49</v>
      </c>
      <c r="Q27" s="5">
        <v>0</v>
      </c>
      <c r="R27" s="5">
        <v>0</v>
      </c>
      <c r="S27" s="5">
        <v>0</v>
      </c>
      <c r="T27" s="5">
        <v>516175.69000000006</v>
      </c>
      <c r="U27" s="5">
        <v>0</v>
      </c>
      <c r="V27" s="5">
        <v>9281.1200000000008</v>
      </c>
      <c r="W27" s="5">
        <v>211647.29</v>
      </c>
      <c r="X27" s="5">
        <v>11274.85</v>
      </c>
      <c r="Y27" s="5">
        <v>1</v>
      </c>
      <c r="Z27" s="5">
        <v>7</v>
      </c>
      <c r="AA27" s="5">
        <v>43</v>
      </c>
      <c r="AB27" s="5">
        <v>10</v>
      </c>
      <c r="AC27" s="5">
        <v>29</v>
      </c>
      <c r="AD27" s="5">
        <v>0</v>
      </c>
      <c r="AE27" s="5">
        <v>0</v>
      </c>
      <c r="AF27" s="5">
        <v>0</v>
      </c>
      <c r="AG27" s="5">
        <v>1.98</v>
      </c>
      <c r="AH27" s="5">
        <v>0.313</v>
      </c>
      <c r="AI27" s="5">
        <v>0</v>
      </c>
      <c r="AJ27" s="5">
        <v>0</v>
      </c>
      <c r="AK27" s="5">
        <v>0</v>
      </c>
      <c r="AL27" s="5">
        <v>88.72</v>
      </c>
      <c r="AM27" s="5">
        <v>0</v>
      </c>
      <c r="AN27" s="5">
        <v>89</v>
      </c>
      <c r="AO27" s="5">
        <f t="shared" si="41"/>
        <v>0</v>
      </c>
      <c r="AP27" s="5">
        <f t="shared" si="49"/>
        <v>0</v>
      </c>
      <c r="AQ27" s="5">
        <v>0</v>
      </c>
      <c r="AR27" s="5">
        <v>0</v>
      </c>
      <c r="AS27" s="5">
        <v>23874</v>
      </c>
      <c r="AT27" s="5">
        <v>43250</v>
      </c>
      <c r="AU27" s="5">
        <v>692</v>
      </c>
      <c r="AV27" s="5">
        <v>1038</v>
      </c>
      <c r="AW27" s="199">
        <v>398.5</v>
      </c>
      <c r="AX27" s="199">
        <v>1</v>
      </c>
      <c r="AY27" s="199">
        <v>0</v>
      </c>
      <c r="AZ27" s="199">
        <v>0</v>
      </c>
      <c r="BA27" s="5">
        <v>178643.94</v>
      </c>
      <c r="BB27" s="13">
        <v>628101.18000000005</v>
      </c>
      <c r="BC27" s="101">
        <f>MAX(ROUND(IF(F27&lt;4,IF(H27=0,(SUM(Y27:AD27)*Worksheet!$E$26+Y27*Worksheet!$E$27+AR27*Worksheet!$E$39)*-BaseRate,0)),2),MIN(0,-DI27))</f>
        <v>0</v>
      </c>
      <c r="BD27" s="101">
        <f>MAX(ROUND(IF(F27=4,0,IF(I27=0,0,ROUND(SUM(Y27:AD27)*Worksheet!$E$28,2)*-BaseRate)),2),MIN(0,-DI27-BC27))</f>
        <v>-2093.94</v>
      </c>
      <c r="BE27" s="130">
        <f t="shared" si="23"/>
        <v>0</v>
      </c>
      <c r="BF27" s="130">
        <f t="shared" si="24"/>
        <v>1412</v>
      </c>
      <c r="BG27" s="73"/>
      <c r="BH27" s="118">
        <f t="shared" si="25"/>
        <v>56997.29</v>
      </c>
      <c r="BI27" s="118">
        <f t="shared" si="26"/>
        <v>11254.27</v>
      </c>
      <c r="BJ27" s="232">
        <f>IFERROR(ROUND(IF(AND(BB27*1.12&lt;N27*60/1000,N27/CL27&lt;STVPP*0.2),(CL27*STVPP*0.2*Worksheet!$F$88/1000-BB27*1.12)*PropTaxAdj,IF(BB27*1.12&lt;N27*60/1000,(N27*60/1000-BB27*1.12)*PropTaxAdj,0)),2),0)</f>
        <v>0</v>
      </c>
      <c r="BK27" s="116">
        <f>ROUND(IF($F27=4,0,Y27*Worksheet!$E$16),2)</f>
        <v>1</v>
      </c>
      <c r="BL27" s="116">
        <f>ROUND(IF($F27=4,0,Z27*Worksheet!$E$17),2)</f>
        <v>7</v>
      </c>
      <c r="BM27" s="116">
        <f>ROUND(IF($F27=4,0,AA27*Worksheet!$E$18),2)</f>
        <v>43</v>
      </c>
      <c r="BN27" s="116">
        <f>ROUND(IF($F27=4,0,AB27*Worksheet!$E$19),2)</f>
        <v>10</v>
      </c>
      <c r="BO27" s="116">
        <f>ROUND(IF($F27=4,0,AC27*Worksheet!$E$20),2)</f>
        <v>29</v>
      </c>
      <c r="BP27" s="116">
        <f>ROUND(AD27*Worksheet!$E$21,2)</f>
        <v>0</v>
      </c>
      <c r="BQ27" s="116">
        <f t="shared" si="27"/>
        <v>90</v>
      </c>
      <c r="BR27" s="116">
        <f>ROUND(AD27*Worksheet!$E$25,2)</f>
        <v>0</v>
      </c>
      <c r="BS27" s="116">
        <f>ROUND(SUM(BQ27)*Worksheet!$E$26,2)</f>
        <v>7.92</v>
      </c>
      <c r="BT27" s="116">
        <f>ROUND(Y27*Worksheet!$E$27,2)</f>
        <v>0.17</v>
      </c>
      <c r="BU27" s="116">
        <f>ROUND(AO27*Worksheet!$E$29,2)</f>
        <v>0</v>
      </c>
      <c r="BV27" s="116">
        <f>ROUND(AP27*Worksheet!$E$30,2)</f>
        <v>0</v>
      </c>
      <c r="BW27" s="116">
        <f>ROUND(IF($I27&lt;&gt;0,$BQ27*Worksheet!$E$28,0),2)</f>
        <v>0.18</v>
      </c>
      <c r="BX27" s="116">
        <f>ROUND(AE27*Worksheet!$E$31,2)</f>
        <v>0</v>
      </c>
      <c r="BY27" s="116">
        <f>ROUND(AF27*Worksheet!$E$32,2)</f>
        <v>0</v>
      </c>
      <c r="BZ27" s="116">
        <f>ROUND(AG27*Worksheet!$E$33,2)</f>
        <v>0.14000000000000001</v>
      </c>
      <c r="CA27" s="116">
        <f>ROUND(ROUND(AH27*BQ27,2)*Worksheet!$E$34,2)</f>
        <v>0.7</v>
      </c>
      <c r="CB27" s="116">
        <f>ROUND(AI27*Worksheet!$E$35,2)</f>
        <v>0</v>
      </c>
      <c r="CC27" s="116">
        <f>ROUND(AJ27*Worksheet!$E$36,2)</f>
        <v>0</v>
      </c>
      <c r="CD27" s="116">
        <f>ROUND(AQ27*Worksheet!$E$38,2)</f>
        <v>0</v>
      </c>
      <c r="CE27" s="116">
        <f>ROUND(AR27*Worksheet!$E$39,2)</f>
        <v>0</v>
      </c>
      <c r="CF27" s="116">
        <f>IF(AND(L27&gt;275,SUM(Y27:AD27)&lt;100),ROUND(SUM(Y27:AD27)*Worksheet!$E$41,2),0)</f>
        <v>9</v>
      </c>
      <c r="CG27" s="116">
        <f>IF(AND(L27&gt;600,SUM(Y27:AD27)&lt;50),ROUND((50-SUM(Y27:AD27))*(Worksheet!$E$41+1),2),0)</f>
        <v>0</v>
      </c>
      <c r="CH27" s="116">
        <f t="shared" si="28"/>
        <v>108.11000000000001</v>
      </c>
      <c r="CI27" s="116">
        <f t="shared" si="43"/>
        <v>0</v>
      </c>
      <c r="CJ27" s="116">
        <f t="shared" si="44"/>
        <v>108.11000000000001</v>
      </c>
      <c r="CK27" s="95">
        <f t="shared" si="29"/>
        <v>1.67</v>
      </c>
      <c r="CL27" s="116">
        <f t="shared" si="45"/>
        <v>180.54</v>
      </c>
      <c r="CM27" s="116">
        <f t="shared" si="46"/>
        <v>180.54</v>
      </c>
      <c r="CN27" s="116">
        <f t="shared" si="30"/>
        <v>2100221.8199999998</v>
      </c>
      <c r="CO27" s="131">
        <f>ROUND(IF(F27=4,0,(MAX(ROUND(MAX((BI27*MIN(CL27,K27)*Worksheet!$D$126)+MAX(CL27-K27,0)*Worksheet!$F$50,SUM(J27)),2),SUM(CN27))-SUM(CN27))*MinAdj),2)</f>
        <v>0</v>
      </c>
      <c r="CP27" s="116">
        <f t="shared" si="31"/>
        <v>2100221.8199999998</v>
      </c>
      <c r="CQ27" s="131">
        <f>IF(CL27=0,0,-MIN(CP27,MIN(CP27,ROUND(IF(ROUND(IF(CL27=0,0,N27/CL27),2)&lt;STVPP*0.2,STVPP*0.2*CL27*Worksheet!$F$88/1000,N27*Worksheet!$F$88/1000),2))))</f>
        <v>-617417.46</v>
      </c>
      <c r="CR27" s="131">
        <f>-MIN(SUM(CP27,CQ27),IF($P27=0,(ROUND(Worksheet!$E$77*S27,2)+ROUND(Worksheet!$E$78*T27,2)+ROUND(Worksheet!$E$79*U27,2)+ROUND(Worksheet!$E$80*V27,2)+ROUND(Worksheet!$E$81*W27,2)+ROUND(Worksheet!$E$82*X27,2)),(ROUND(ROUND(S27*ROUND((1-$O27/$P27),4),2)*Worksheet!$E$77,2)+ROUND(ROUND(T27*ROUND((1-$O27/$P27),4),2)*Worksheet!$E$78,2)+ROUND(ROUND(U27*ROUND((1-$O27/$P27),4),2)*Worksheet!$E$79,2)+ROUND(ROUND(V27*ROUND((1-$O27/$P27),4),2)*Worksheet!$E$80,2)+ROUND(ROUND(W27*ROUND((1-$O27/$P27),4),2)*Worksheet!$E$81,2)+ROUND(ROUND(X27*ROUND((1-$O27/$P27),4),2)*Worksheet!$E$82,2))))</f>
        <v>-561284.22000000009</v>
      </c>
      <c r="CS27" s="116">
        <f t="shared" si="32"/>
        <v>921520.13999999978</v>
      </c>
      <c r="CT27" s="116">
        <f>ROUND(MIN(BA27,ROUND((ROUND(AS27*Worksheet!$E$104,2)+ROUND(AV27*Worksheet!$E$107,2)+ROUND(AT27*Worksheet!$E$105,2)+ROUND(AW27*Worksheet!$E$108,2)+ROUND(AU27*Worksheet!$E$106,2)+ROUND(AX27*Worksheet!$E$109,2)+ROUND(AY27*Worksheet!$E$110,2)+ROUND(AZ27*Worksheet!$E$111,2))*Worksheet!$D$114,2))*BaseRate,2)</f>
        <v>85153.56</v>
      </c>
      <c r="CU27" s="121">
        <v>0</v>
      </c>
      <c r="CV27" s="121">
        <v>0</v>
      </c>
      <c r="CW27" s="121">
        <v>0</v>
      </c>
      <c r="CX27" s="121">
        <v>0</v>
      </c>
      <c r="CY27" s="121">
        <v>0</v>
      </c>
      <c r="DA27" s="116">
        <f t="shared" si="33"/>
        <v>0</v>
      </c>
      <c r="DB27" s="116">
        <f>MAX(-CT27,MIN(0,ROUND($R27*EFBPercent+EFBAdd,2)-$Q27),MIN(0,SUM($CS27:CS27)+MIN(0,ROUND($R27*EFBPercent+EFBAdd,2)-$Q27)))</f>
        <v>0</v>
      </c>
      <c r="DC27" s="192">
        <f>IF(CU27&lt;0,0,MAX(-CU27,MIN(0,ROUND($R27*EFBPercent+EFBAdd,2)-$Q27),MIN(0,SUM($CS27:CT27)+MIN(0,ROUND($R27*EFBPercent+EFBAdd,2)-$Q27))))</f>
        <v>0</v>
      </c>
      <c r="DD27" s="192">
        <f>IF(CV27&lt;0,0,MAX(-CV27,MIN(0,ROUND($R27*EFBPercent+EFBAdd,2)-$Q27),MIN(0,SUM($CS27:CU27)+MIN(0,ROUND($R27*EFBPercent+EFBAdd,2)-$Q27))))</f>
        <v>0</v>
      </c>
      <c r="DE27" s="192">
        <f>IF(CW27&lt;0,0,MAX(-CW27,MIN(0,ROUND($R27*EFBPercent+EFBAdd,2)-$Q27),MIN(0,SUM($CS27:CV27)+MIN(0,ROUND($R27*EFBPercent+EFBAdd,2)-$Q27))))</f>
        <v>0</v>
      </c>
      <c r="DF27" s="192">
        <f>IF(CX27&lt;0,0,MAX(-CX27,MIN(0,ROUND($R27*EFBPercent+EFBAdd,2)-$Q27),MIN(0,SUM($CS27:CW27)+MIN(0,ROUND($R27*EFBPercent+EFBAdd,2)-$Q27))))</f>
        <v>0</v>
      </c>
      <c r="DG27" s="116">
        <f>MAX(-CY27,MIN(0,ROUND($R27*EFBPercent+EFBAdd,2)-$Q27),MIN(0,SUM($CS27:CX27)+MIN(0,ROUND($R27*EFBPercent+EFBAdd,2)-$Q27)))</f>
        <v>0</v>
      </c>
      <c r="DI27" s="73">
        <f t="shared" si="34"/>
        <v>921520.13999999978</v>
      </c>
      <c r="DJ27" s="73">
        <f t="shared" si="35"/>
        <v>85153.56</v>
      </c>
      <c r="DK27" s="73">
        <f t="shared" si="36"/>
        <v>0</v>
      </c>
      <c r="DL27" s="73">
        <f t="shared" si="37"/>
        <v>0</v>
      </c>
      <c r="DM27" s="73">
        <f t="shared" si="38"/>
        <v>0</v>
      </c>
      <c r="DN27" s="73">
        <f t="shared" si="39"/>
        <v>0</v>
      </c>
      <c r="DO27" s="73">
        <f t="shared" si="40"/>
        <v>0</v>
      </c>
      <c r="DP27" s="73"/>
      <c r="DQ27" s="73"/>
    </row>
    <row r="28" spans="1:121" ht="10.199999999999999" x14ac:dyDescent="0.2">
      <c r="A28" s="4" t="s">
        <v>516</v>
      </c>
      <c r="B28" s="72">
        <v>1012</v>
      </c>
      <c r="C28" s="13" t="s">
        <v>42</v>
      </c>
      <c r="D28" s="4">
        <v>2027</v>
      </c>
      <c r="E28" s="4" t="s">
        <v>359</v>
      </c>
      <c r="F28" s="4">
        <v>1</v>
      </c>
      <c r="G28" s="4" t="s">
        <v>662</v>
      </c>
      <c r="H28" s="4">
        <v>100</v>
      </c>
      <c r="I28" s="4" t="s">
        <v>1091</v>
      </c>
      <c r="J28" s="5">
        <v>139523120.09999999</v>
      </c>
      <c r="K28" s="5">
        <v>14464.35</v>
      </c>
      <c r="L28" s="5">
        <v>221</v>
      </c>
      <c r="M28" s="5">
        <v>0</v>
      </c>
      <c r="N28" s="5">
        <v>702152375</v>
      </c>
      <c r="O28" s="5">
        <v>15.74</v>
      </c>
      <c r="P28" s="5">
        <v>107.19</v>
      </c>
      <c r="Q28" s="5">
        <v>0</v>
      </c>
      <c r="R28" s="5">
        <v>0</v>
      </c>
      <c r="S28" s="5">
        <v>343020.9</v>
      </c>
      <c r="T28" s="5">
        <v>0</v>
      </c>
      <c r="U28" s="5">
        <v>0</v>
      </c>
      <c r="V28" s="5">
        <v>98751.98</v>
      </c>
      <c r="W28" s="5">
        <v>481233.16</v>
      </c>
      <c r="X28" s="5">
        <v>382971.37</v>
      </c>
      <c r="Y28" s="5">
        <v>166.82</v>
      </c>
      <c r="Z28" s="5">
        <v>885</v>
      </c>
      <c r="AA28" s="5">
        <v>6350</v>
      </c>
      <c r="AB28" s="5">
        <v>2162</v>
      </c>
      <c r="AC28" s="5">
        <v>4164.01</v>
      </c>
      <c r="AD28" s="5">
        <v>115.99000000000001</v>
      </c>
      <c r="AE28" s="5">
        <v>81.230000000000032</v>
      </c>
      <c r="AF28" s="5">
        <v>101.76000000000003</v>
      </c>
      <c r="AG28" s="5">
        <v>169.3</v>
      </c>
      <c r="AH28" s="5">
        <v>0.25600000000000001</v>
      </c>
      <c r="AI28" s="5">
        <v>0.08</v>
      </c>
      <c r="AJ28" s="5">
        <v>0</v>
      </c>
      <c r="AK28" s="5">
        <v>0</v>
      </c>
      <c r="AL28" s="5">
        <v>13570.809999999998</v>
      </c>
      <c r="AM28" s="5">
        <v>0</v>
      </c>
      <c r="AN28" s="5">
        <v>13677</v>
      </c>
      <c r="AO28" s="5">
        <f t="shared" si="41"/>
        <v>0</v>
      </c>
      <c r="AP28" s="5">
        <f t="shared" si="49"/>
        <v>0</v>
      </c>
      <c r="AQ28" s="5">
        <v>922.7</v>
      </c>
      <c r="AR28" s="5">
        <v>5.71</v>
      </c>
      <c r="AS28" s="5">
        <v>13137</v>
      </c>
      <c r="AT28" s="5">
        <v>911178</v>
      </c>
      <c r="AU28" s="5">
        <v>8411</v>
      </c>
      <c r="AV28" s="5">
        <v>35939</v>
      </c>
      <c r="AW28" s="199">
        <v>221</v>
      </c>
      <c r="AX28" s="199">
        <v>26</v>
      </c>
      <c r="AY28" s="199">
        <v>0</v>
      </c>
      <c r="AZ28" s="199">
        <v>0</v>
      </c>
      <c r="BA28" s="5">
        <v>5307438.3899999997</v>
      </c>
      <c r="BB28" s="13">
        <v>39768732.18</v>
      </c>
      <c r="BC28" s="101">
        <f>MAX(ROUND(IF(F28&lt;4,IF(H28=0,(SUM(Y28:AD28)*Worksheet!$E$26+Y28*Worksheet!$E$27+AR28*Worksheet!$E$39)*-BaseRate,0)),2),MIN(0,-DI28))</f>
        <v>0</v>
      </c>
      <c r="BD28" s="101">
        <f>MAX(ROUND(IF(F28=4,0,IF(I28=0,0,ROUND(SUM(Y28:AD28)*Worksheet!$E$28,2)*-BaseRate)),2),MIN(0,-DI28-BC28))</f>
        <v>-322117.77</v>
      </c>
      <c r="BE28" s="130">
        <f t="shared" si="23"/>
        <v>0</v>
      </c>
      <c r="BF28" s="130">
        <f t="shared" si="24"/>
        <v>1403</v>
      </c>
      <c r="BG28" s="73"/>
      <c r="BH28" s="118">
        <f t="shared" si="25"/>
        <v>44249.83</v>
      </c>
      <c r="BI28" s="118">
        <f t="shared" si="26"/>
        <v>9646</v>
      </c>
      <c r="BJ28" s="232">
        <f>IFERROR(ROUND(IF(AND(BB28*1.12&lt;N28*60/1000,N28/CL28&lt;STVPP*0.2),(CL28*STVPP*0.2*Worksheet!$F$88/1000-BB28*1.12)*PropTaxAdj,IF(BB28*1.12&lt;N28*60/1000,(N28*60/1000-BB28*1.12)*PropTaxAdj,0)),2),0)</f>
        <v>0</v>
      </c>
      <c r="BK28" s="116">
        <f>ROUND(IF($F28=4,0,Y28*Worksheet!$E$16),2)</f>
        <v>166.82</v>
      </c>
      <c r="BL28" s="116">
        <f>ROUND(IF($F28=4,0,Z28*Worksheet!$E$17),2)</f>
        <v>885</v>
      </c>
      <c r="BM28" s="116">
        <f>ROUND(IF($F28=4,0,AA28*Worksheet!$E$18),2)</f>
        <v>6350</v>
      </c>
      <c r="BN28" s="116">
        <f>ROUND(IF($F28=4,0,AB28*Worksheet!$E$19),2)</f>
        <v>2162</v>
      </c>
      <c r="BO28" s="116">
        <f>ROUND(IF($F28=4,0,AC28*Worksheet!$E$20),2)</f>
        <v>4164.01</v>
      </c>
      <c r="BP28" s="116">
        <f>ROUND(AD28*Worksheet!$E$21,2)</f>
        <v>115.99</v>
      </c>
      <c r="BQ28" s="116">
        <f t="shared" si="27"/>
        <v>13843.82</v>
      </c>
      <c r="BR28" s="116">
        <f>ROUND(AD28*Worksheet!$E$25,2)</f>
        <v>29</v>
      </c>
      <c r="BS28" s="116">
        <f>ROUND(SUM(BQ28)*Worksheet!$E$26,2)</f>
        <v>1218.26</v>
      </c>
      <c r="BT28" s="116">
        <f>ROUND(Y28*Worksheet!$E$27,2)</f>
        <v>28.36</v>
      </c>
      <c r="BU28" s="116">
        <f>ROUND(AO28*Worksheet!$E$29,2)</f>
        <v>0</v>
      </c>
      <c r="BV28" s="116">
        <f>ROUND(AP28*Worksheet!$E$30,2)</f>
        <v>0</v>
      </c>
      <c r="BW28" s="116">
        <f>ROUND(IF($I28&lt;&gt;0,$BQ28*Worksheet!$E$28,0),2)</f>
        <v>27.69</v>
      </c>
      <c r="BX28" s="116">
        <f>ROUND(AE28*Worksheet!$E$31,2)</f>
        <v>32.49</v>
      </c>
      <c r="BY28" s="116">
        <f>ROUND(AF28*Worksheet!$E$32,2)</f>
        <v>28.49</v>
      </c>
      <c r="BZ28" s="116">
        <f>ROUND(AG28*Worksheet!$E$33,2)</f>
        <v>11.85</v>
      </c>
      <c r="CA28" s="116">
        <f>ROUND(ROUND(AH28*BQ28,2)*Worksheet!$E$34,2)</f>
        <v>88.6</v>
      </c>
      <c r="CB28" s="116">
        <f>ROUND(AI28*Worksheet!$E$35,2)</f>
        <v>0.02</v>
      </c>
      <c r="CC28" s="116">
        <f>ROUND(AJ28*Worksheet!$E$36,2)</f>
        <v>0</v>
      </c>
      <c r="CD28" s="116">
        <f>ROUND(AQ28*Worksheet!$E$38,2)</f>
        <v>553.62</v>
      </c>
      <c r="CE28" s="116">
        <f>ROUND(AR28*Worksheet!$E$39,2)</f>
        <v>5.71</v>
      </c>
      <c r="CF28" s="116">
        <f>IF(AND(L28&gt;275,SUM(Y28:AD28)&lt;100),ROUND(SUM(Y28:AD28)*Worksheet!$E$41,2),0)</f>
        <v>0</v>
      </c>
      <c r="CG28" s="116">
        <f>IF(AND(L28&gt;600,SUM(Y28:AD28)&lt;50),ROUND((50-SUM(Y28:AD28))*(Worksheet!$E$41+1),2),0)</f>
        <v>0</v>
      </c>
      <c r="CH28" s="116">
        <f t="shared" si="28"/>
        <v>15867.910000000002</v>
      </c>
      <c r="CI28" s="116">
        <f t="shared" si="43"/>
        <v>0</v>
      </c>
      <c r="CJ28" s="116">
        <f t="shared" si="44"/>
        <v>15867.910000000002</v>
      </c>
      <c r="CK28" s="95">
        <f t="shared" si="29"/>
        <v>1</v>
      </c>
      <c r="CL28" s="116">
        <f t="shared" si="45"/>
        <v>15867.91</v>
      </c>
      <c r="CM28" s="116">
        <f t="shared" si="46"/>
        <v>15867.91</v>
      </c>
      <c r="CN28" s="116">
        <f t="shared" si="30"/>
        <v>184591397.03</v>
      </c>
      <c r="CO28" s="131">
        <f>ROUND(IF(F28=4,0,(MAX(ROUND(MAX((BI28*MIN(CL28,K28)*Worksheet!$D$126)+MAX(CL28-K28,0)*Worksheet!$F$50,SUM(J28)),2),SUM(CN28))-SUM(CN28))*MinAdj),2)</f>
        <v>0</v>
      </c>
      <c r="CP28" s="116">
        <f t="shared" si="31"/>
        <v>184591397.03</v>
      </c>
      <c r="CQ28" s="131">
        <f>IF(CL28=0,0,-MIN(CP28,MIN(CP28,ROUND(IF(ROUND(IF(CL28=0,0,N28/CL28),2)&lt;STVPP*0.2,STVPP*0.2*CL28*Worksheet!$F$88/1000,N28*Worksheet!$F$88/1000),2))))</f>
        <v>-42129142.5</v>
      </c>
      <c r="CR28" s="131">
        <f>-MIN(SUM(CP28,CQ28),IF($P28=0,(ROUND(Worksheet!$E$77*S28,2)+ROUND(Worksheet!$E$78*T28,2)+ROUND(Worksheet!$E$79*U28,2)+ROUND(Worksheet!$E$80*V28,2)+ROUND(Worksheet!$E$81*W28,2)+ROUND(Worksheet!$E$82*X28,2)),(ROUND(ROUND(S28*ROUND((1-$O28/$P28),4),2)*Worksheet!$E$77,2)+ROUND(ROUND(T28*ROUND((1-$O28/$P28),4),2)*Worksheet!$E$78,2)+ROUND(ROUND(U28*ROUND((1-$O28/$P28),4),2)*Worksheet!$E$79,2)+ROUND(ROUND(V28*ROUND((1-$O28/$P28),4),2)*Worksheet!$E$80,2)+ROUND(ROUND(W28*ROUND((1-$O28/$P28),4),2)*Worksheet!$E$81,2)+ROUND(ROUND(X28*ROUND((1-$O28/$P28),4),2)*Worksheet!$E$82,2))))</f>
        <v>-835694.94000000006</v>
      </c>
      <c r="CS28" s="116">
        <f t="shared" si="32"/>
        <v>141626559.59</v>
      </c>
      <c r="CT28" s="116">
        <f>ROUND(MIN(BA28,ROUND((ROUND(AS28*Worksheet!$E$104,2)+ROUND(AV28*Worksheet!$E$107,2)+ROUND(AT28*Worksheet!$E$105,2)+ROUND(AW28*Worksheet!$E$108,2)+ROUND(AU28*Worksheet!$E$106,2)+ROUND(AX28*Worksheet!$E$109,2)+ROUND(AY28*Worksheet!$E$110,2)+ROUND(AZ28*Worksheet!$E$111,2))*Worksheet!$D$114,2))*BaseRate,2)</f>
        <v>1548235.97</v>
      </c>
      <c r="CU28" s="121">
        <v>117076.59</v>
      </c>
      <c r="CV28" s="121">
        <v>0</v>
      </c>
      <c r="CW28" s="121">
        <v>0</v>
      </c>
      <c r="CX28" s="121">
        <v>0</v>
      </c>
      <c r="CY28" s="121">
        <v>0</v>
      </c>
      <c r="DA28" s="116">
        <f t="shared" si="33"/>
        <v>0</v>
      </c>
      <c r="DB28" s="116">
        <f>MAX(-CT28,MIN(0,ROUND($R28*EFBPercent+EFBAdd,2)-$Q28),MIN(0,SUM($CS28:CS28)+MIN(0,ROUND($R28*EFBPercent+EFBAdd,2)-$Q28)))</f>
        <v>0</v>
      </c>
      <c r="DC28" s="192">
        <f>IF(CU28&lt;0,0,MAX(-CU28,MIN(0,ROUND($R28*EFBPercent+EFBAdd,2)-$Q28),MIN(0,SUM($CS28:CT28)+MIN(0,ROUND($R28*EFBPercent+EFBAdd,2)-$Q28))))</f>
        <v>0</v>
      </c>
      <c r="DD28" s="192">
        <f>IF(CV28&lt;0,0,MAX(-CV28,MIN(0,ROUND($R28*EFBPercent+EFBAdd,2)-$Q28),MIN(0,SUM($CS28:CU28)+MIN(0,ROUND($R28*EFBPercent+EFBAdd,2)-$Q28))))</f>
        <v>0</v>
      </c>
      <c r="DE28" s="192">
        <f>IF(CW28&lt;0,0,MAX(-CW28,MIN(0,ROUND($R28*EFBPercent+EFBAdd,2)-$Q28),MIN(0,SUM($CS28:CV28)+MIN(0,ROUND($R28*EFBPercent+EFBAdd,2)-$Q28))))</f>
        <v>0</v>
      </c>
      <c r="DF28" s="192">
        <f>IF(CX28&lt;0,0,MAX(-CX28,MIN(0,ROUND($R28*EFBPercent+EFBAdd,2)-$Q28),MIN(0,SUM($CS28:CW28)+MIN(0,ROUND($R28*EFBPercent+EFBAdd,2)-$Q28))))</f>
        <v>0</v>
      </c>
      <c r="DG28" s="116">
        <f>MAX(-CY28,MIN(0,ROUND($R28*EFBPercent+EFBAdd,2)-$Q28),MIN(0,SUM($CS28:CX28)+MIN(0,ROUND($R28*EFBPercent+EFBAdd,2)-$Q28)))</f>
        <v>0</v>
      </c>
      <c r="DI28" s="73">
        <f t="shared" si="34"/>
        <v>141626559.59</v>
      </c>
      <c r="DJ28" s="73">
        <f t="shared" si="35"/>
        <v>1548235.97</v>
      </c>
      <c r="DK28" s="73">
        <f t="shared" si="36"/>
        <v>117076.59</v>
      </c>
      <c r="DL28" s="73">
        <f t="shared" si="37"/>
        <v>0</v>
      </c>
      <c r="DM28" s="73">
        <f t="shared" si="38"/>
        <v>0</v>
      </c>
      <c r="DN28" s="73">
        <f t="shared" si="39"/>
        <v>0</v>
      </c>
      <c r="DO28" s="73">
        <f t="shared" si="40"/>
        <v>0</v>
      </c>
      <c r="DP28" s="73"/>
      <c r="DQ28" s="73"/>
    </row>
    <row r="29" spans="1:121" ht="10.199999999999999" x14ac:dyDescent="0.2">
      <c r="A29" s="4" t="s">
        <v>517</v>
      </c>
      <c r="B29" s="72">
        <v>1114</v>
      </c>
      <c r="C29" s="13" t="s">
        <v>43</v>
      </c>
      <c r="D29" s="4">
        <v>2027</v>
      </c>
      <c r="E29" s="4" t="s">
        <v>360</v>
      </c>
      <c r="F29" s="4">
        <v>3</v>
      </c>
      <c r="G29" s="4" t="s">
        <v>661</v>
      </c>
      <c r="H29" s="4">
        <v>0</v>
      </c>
      <c r="I29" s="4" t="s">
        <v>1091</v>
      </c>
      <c r="J29" s="5">
        <v>222371.97</v>
      </c>
      <c r="K29" s="5">
        <v>12.08</v>
      </c>
      <c r="L29" s="5">
        <v>32</v>
      </c>
      <c r="M29" s="5">
        <v>0</v>
      </c>
      <c r="N29" s="5">
        <v>834004</v>
      </c>
      <c r="O29" s="5">
        <v>0</v>
      </c>
      <c r="P29" s="5">
        <v>81.78</v>
      </c>
      <c r="Q29" s="5">
        <v>0</v>
      </c>
      <c r="R29" s="5">
        <v>0</v>
      </c>
      <c r="S29" s="5">
        <v>0</v>
      </c>
      <c r="T29" s="5">
        <v>0</v>
      </c>
      <c r="U29" s="5">
        <v>0</v>
      </c>
      <c r="V29" s="5">
        <v>1642.97</v>
      </c>
      <c r="W29" s="5">
        <v>610.83999999999992</v>
      </c>
      <c r="X29" s="5">
        <v>311.25</v>
      </c>
      <c r="Y29" s="5">
        <v>0</v>
      </c>
      <c r="Z29" s="5">
        <v>4</v>
      </c>
      <c r="AA29" s="5">
        <v>20</v>
      </c>
      <c r="AB29" s="5">
        <v>3</v>
      </c>
      <c r="AC29" s="5">
        <v>0</v>
      </c>
      <c r="AD29" s="5">
        <v>0</v>
      </c>
      <c r="AE29" s="5">
        <v>0</v>
      </c>
      <c r="AF29" s="5">
        <v>0</v>
      </c>
      <c r="AG29" s="5">
        <v>0</v>
      </c>
      <c r="AH29" s="5">
        <v>0</v>
      </c>
      <c r="AI29" s="5">
        <v>0</v>
      </c>
      <c r="AJ29" s="5">
        <v>0</v>
      </c>
      <c r="AK29" s="5">
        <v>0</v>
      </c>
      <c r="AL29" s="5">
        <v>26.68</v>
      </c>
      <c r="AM29" s="5">
        <v>7.93</v>
      </c>
      <c r="AN29" s="5">
        <v>27</v>
      </c>
      <c r="AO29" s="5">
        <f t="shared" si="41"/>
        <v>0</v>
      </c>
      <c r="AP29" s="5">
        <f t="shared" si="49"/>
        <v>0</v>
      </c>
      <c r="AQ29" s="5">
        <v>0</v>
      </c>
      <c r="AR29" s="5">
        <v>0</v>
      </c>
      <c r="AS29" s="5">
        <v>0</v>
      </c>
      <c r="AT29" s="5">
        <v>0</v>
      </c>
      <c r="AU29" s="5">
        <v>0</v>
      </c>
      <c r="AV29" s="5">
        <v>0</v>
      </c>
      <c r="AW29" s="199">
        <v>32</v>
      </c>
      <c r="AX29" s="199">
        <v>1</v>
      </c>
      <c r="AY29" s="199">
        <v>0</v>
      </c>
      <c r="AZ29" s="199">
        <v>0</v>
      </c>
      <c r="BA29" s="5">
        <v>0</v>
      </c>
      <c r="BB29" s="13">
        <v>48397.08</v>
      </c>
      <c r="BC29" s="101">
        <f>MAX(ROUND(IF(F29&lt;4,IF(H29=0,(SUM(Y29:AD29)*Worksheet!$E$26+Y29*Worksheet!$E$27+AR29*Worksheet!$E$39)*-BaseRate,0)),2),MIN(0,-DI29))</f>
        <v>-27640.01</v>
      </c>
      <c r="BD29" s="101">
        <f>MAX(ROUND(IF(F29=4,0,IF(I29=0,0,ROUND(SUM(Y29:AD29)*Worksheet!$E$28,2)*-BaseRate)),2),MIN(0,-DI29-BC29))</f>
        <v>-581.65</v>
      </c>
      <c r="BE29" s="130">
        <f t="shared" si="23"/>
        <v>2502</v>
      </c>
      <c r="BF29" s="130">
        <f t="shared" si="24"/>
        <v>1403</v>
      </c>
      <c r="BG29" s="73"/>
      <c r="BH29" s="118">
        <f t="shared" si="25"/>
        <v>16968.55</v>
      </c>
      <c r="BI29" s="118">
        <f t="shared" si="26"/>
        <v>18408.28</v>
      </c>
      <c r="BJ29" s="232">
        <f>IFERROR(ROUND(IF(AND(BB29*1.12&lt;N29*60/1000,N29/CL29&lt;STVPP*0.2),(CL29*STVPP*0.2*Worksheet!$F$88/1000-BB29*1.12)*PropTaxAdj,IF(BB29*1.12&lt;N29*60/1000,(N29*60/1000-BB29*1.12)*PropTaxAdj,0)),2),0)</f>
        <v>0</v>
      </c>
      <c r="BK29" s="116">
        <f>ROUND(IF($F29=4,0,Y29*Worksheet!$E$16),2)</f>
        <v>0</v>
      </c>
      <c r="BL29" s="116">
        <f>ROUND(IF($F29=4,0,Z29*Worksheet!$E$17),2)</f>
        <v>4</v>
      </c>
      <c r="BM29" s="116">
        <f>ROUND(IF($F29=4,0,AA29*Worksheet!$E$18),2)</f>
        <v>20</v>
      </c>
      <c r="BN29" s="116">
        <f>ROUND(IF($F29=4,0,AB29*Worksheet!$E$19),2)</f>
        <v>3</v>
      </c>
      <c r="BO29" s="116">
        <f>ROUND(IF($F29=4,0,AC29*Worksheet!$E$20),2)</f>
        <v>0</v>
      </c>
      <c r="BP29" s="116">
        <f>ROUND(AD29*Worksheet!$E$21,2)</f>
        <v>0</v>
      </c>
      <c r="BQ29" s="116">
        <f t="shared" si="27"/>
        <v>27</v>
      </c>
      <c r="BR29" s="116">
        <f>ROUND(AD29*Worksheet!$E$25,2)</f>
        <v>0</v>
      </c>
      <c r="BS29" s="116">
        <f>ROUND(SUM(BQ29)*Worksheet!$E$26,2)</f>
        <v>2.38</v>
      </c>
      <c r="BT29" s="116">
        <f>ROUND(Y29*Worksheet!$E$27,2)</f>
        <v>0</v>
      </c>
      <c r="BU29" s="116">
        <f>ROUND(AO29*Worksheet!$E$29,2)</f>
        <v>0</v>
      </c>
      <c r="BV29" s="116">
        <f>ROUND(AP29*Worksheet!$E$30,2)</f>
        <v>0</v>
      </c>
      <c r="BW29" s="116">
        <f>ROUND(IF($I29&lt;&gt;0,$BQ29*Worksheet!$E$28,0),2)</f>
        <v>0.05</v>
      </c>
      <c r="BX29" s="116">
        <f>ROUND(AE29*Worksheet!$E$31,2)</f>
        <v>0</v>
      </c>
      <c r="BY29" s="116">
        <f>ROUND(AF29*Worksheet!$E$32,2)</f>
        <v>0</v>
      </c>
      <c r="BZ29" s="116">
        <f>ROUND(AG29*Worksheet!$E$33,2)</f>
        <v>0</v>
      </c>
      <c r="CA29" s="116">
        <f>ROUND(ROUND(AH29*BQ29,2)*Worksheet!$E$34,2)</f>
        <v>0</v>
      </c>
      <c r="CB29" s="116">
        <f>ROUND(AI29*Worksheet!$E$35,2)</f>
        <v>0</v>
      </c>
      <c r="CC29" s="116">
        <f>ROUND(AJ29*Worksheet!$E$36,2)</f>
        <v>0</v>
      </c>
      <c r="CD29" s="116">
        <f>ROUND(AQ29*Worksheet!$E$38,2)</f>
        <v>0</v>
      </c>
      <c r="CE29" s="116">
        <f>ROUND(AR29*Worksheet!$E$39,2)</f>
        <v>0</v>
      </c>
      <c r="CF29" s="116">
        <f>IF(AND(L29&gt;275,SUM(Y29:AD29)&lt;100),ROUND(SUM(Y29:AD29)*Worksheet!$E$41,2),0)</f>
        <v>0</v>
      </c>
      <c r="CG29" s="116">
        <f>IF(AND(L29&gt;600,SUM(Y29:AD29)&lt;50),ROUND((50-SUM(Y29:AD29))*(Worksheet!$E$41+1),2),0)</f>
        <v>0</v>
      </c>
      <c r="CH29" s="116">
        <f t="shared" si="28"/>
        <v>29.43</v>
      </c>
      <c r="CI29" s="116">
        <f t="shared" si="43"/>
        <v>0</v>
      </c>
      <c r="CJ29" s="116">
        <f t="shared" si="44"/>
        <v>29.43</v>
      </c>
      <c r="CK29" s="95">
        <f t="shared" si="29"/>
        <v>1.67</v>
      </c>
      <c r="CL29" s="116">
        <f t="shared" si="45"/>
        <v>49.15</v>
      </c>
      <c r="CM29" s="116">
        <f t="shared" si="46"/>
        <v>49.15</v>
      </c>
      <c r="CN29" s="116">
        <f t="shared" si="30"/>
        <v>571761.94999999995</v>
      </c>
      <c r="CO29" s="131">
        <f>ROUND(IF(F29=4,0,(MAX(ROUND(MAX((BI29*MIN(CL29,K29)*Worksheet!$D$126)+MAX(CL29-K29,0)*Worksheet!$F$50,SUM(J29)),2),SUM(CN29))-SUM(CN29))*MinAdj),2)</f>
        <v>12943.92</v>
      </c>
      <c r="CP29" s="116">
        <f t="shared" si="31"/>
        <v>584705.87</v>
      </c>
      <c r="CQ29" s="131">
        <f>IF(CL29=0,0,-MIN(CP29,MIN(CP29,ROUND(IF(ROUND(IF(CL29=0,0,N29/CL29),2)&lt;STVPP*0.2,STVPP*0.2*CL29*Worksheet!$F$88/1000,N29*Worksheet!$F$88/1000),2))))</f>
        <v>-50040.24</v>
      </c>
      <c r="CR29" s="131">
        <f>-MIN(SUM(CP29,CQ29),IF($P29=0,(ROUND(Worksheet!$E$77*S29,2)+ROUND(Worksheet!$E$78*T29,2)+ROUND(Worksheet!$E$79*U29,2)+ROUND(Worksheet!$E$80*V29,2)+ROUND(Worksheet!$E$81*W29,2)+ROUND(Worksheet!$E$82*X29,2)),(ROUND(ROUND(S29*ROUND((1-$O29/$P29),4),2)*Worksheet!$E$77,2)+ROUND(ROUND(T29*ROUND((1-$O29/$P29),4),2)*Worksheet!$E$78,2)+ROUND(ROUND(U29*ROUND((1-$O29/$P29),4),2)*Worksheet!$E$79,2)+ROUND(ROUND(V29*ROUND((1-$O29/$P29),4),2)*Worksheet!$E$80,2)+ROUND(ROUND(W29*ROUND((1-$O29/$P29),4),2)*Worksheet!$E$81,2)+ROUND(ROUND(X29*ROUND((1-$O29/$P29),4),2)*Worksheet!$E$82,2))))</f>
        <v>-1923.8000000000002</v>
      </c>
      <c r="CS29" s="116">
        <f t="shared" si="32"/>
        <v>532741.82999999996</v>
      </c>
      <c r="CT29" s="116">
        <f>ROUND(MIN(BA29,ROUND((ROUND(AS29*Worksheet!$E$104,2)+ROUND(AV29*Worksheet!$E$107,2)+ROUND(AT29*Worksheet!$E$105,2)+ROUND(AW29*Worksheet!$E$108,2)+ROUND(AU29*Worksheet!$E$106,2)+ROUND(AX29*Worksheet!$E$109,2)+ROUND(AY29*Worksheet!$E$110,2)+ROUND(AZ29*Worksheet!$E$111,2))*Worksheet!$D$114,2))*BaseRate,2)</f>
        <v>0</v>
      </c>
      <c r="CU29" s="121">
        <v>0</v>
      </c>
      <c r="CV29" s="121">
        <v>0</v>
      </c>
      <c r="CW29" s="121">
        <v>0</v>
      </c>
      <c r="CX29" s="121">
        <v>0</v>
      </c>
      <c r="CY29" s="121">
        <v>0</v>
      </c>
      <c r="DA29" s="116">
        <f t="shared" si="33"/>
        <v>0</v>
      </c>
      <c r="DB29" s="116">
        <f>MAX(-CT29,MIN(0,ROUND($R29*EFBPercent+EFBAdd,2)-$Q29),MIN(0,SUM($CS29:CS29)+MIN(0,ROUND($R29*EFBPercent+EFBAdd,2)-$Q29)))</f>
        <v>0</v>
      </c>
      <c r="DC29" s="192">
        <f>IF(CU29&lt;0,0,MAX(-CU29,MIN(0,ROUND($R29*EFBPercent+EFBAdd,2)-$Q29),MIN(0,SUM($CS29:CT29)+MIN(0,ROUND($R29*EFBPercent+EFBAdd,2)-$Q29))))</f>
        <v>0</v>
      </c>
      <c r="DD29" s="192">
        <f>IF(CV29&lt;0,0,MAX(-CV29,MIN(0,ROUND($R29*EFBPercent+EFBAdd,2)-$Q29),MIN(0,SUM($CS29:CU29)+MIN(0,ROUND($R29*EFBPercent+EFBAdd,2)-$Q29))))</f>
        <v>0</v>
      </c>
      <c r="DE29" s="192">
        <f>IF(CW29&lt;0,0,MAX(-CW29,MIN(0,ROUND($R29*EFBPercent+EFBAdd,2)-$Q29),MIN(0,SUM($CS29:CV29)+MIN(0,ROUND($R29*EFBPercent+EFBAdd,2)-$Q29))))</f>
        <v>0</v>
      </c>
      <c r="DF29" s="192">
        <f>IF(CX29&lt;0,0,MAX(-CX29,MIN(0,ROUND($R29*EFBPercent+EFBAdd,2)-$Q29),MIN(0,SUM($CS29:CW29)+MIN(0,ROUND($R29*EFBPercent+EFBAdd,2)-$Q29))))</f>
        <v>0</v>
      </c>
      <c r="DG29" s="116">
        <f>MAX(-CY29,MIN(0,ROUND($R29*EFBPercent+EFBAdd,2)-$Q29),MIN(0,SUM($CS29:CX29)+MIN(0,ROUND($R29*EFBPercent+EFBAdd,2)-$Q29)))</f>
        <v>0</v>
      </c>
      <c r="DI29" s="73">
        <f t="shared" si="34"/>
        <v>532741.82999999996</v>
      </c>
      <c r="DJ29" s="73">
        <f t="shared" si="35"/>
        <v>0</v>
      </c>
      <c r="DK29" s="73">
        <f t="shared" si="36"/>
        <v>0</v>
      </c>
      <c r="DL29" s="73">
        <f t="shared" si="37"/>
        <v>0</v>
      </c>
      <c r="DM29" s="73">
        <f t="shared" si="38"/>
        <v>0</v>
      </c>
      <c r="DN29" s="73">
        <f t="shared" si="39"/>
        <v>0</v>
      </c>
      <c r="DO29" s="73">
        <f t="shared" si="40"/>
        <v>0</v>
      </c>
      <c r="DP29" s="73"/>
      <c r="DQ29" s="73"/>
    </row>
    <row r="30" spans="1:121" ht="10.199999999999999" x14ac:dyDescent="0.2">
      <c r="A30" s="4" t="s">
        <v>518</v>
      </c>
      <c r="B30" s="72">
        <v>1175</v>
      </c>
      <c r="C30" s="13" t="s">
        <v>44</v>
      </c>
      <c r="D30" s="4">
        <v>2027</v>
      </c>
      <c r="E30" s="4" t="s">
        <v>361</v>
      </c>
      <c r="F30" s="4">
        <v>1</v>
      </c>
      <c r="G30" s="4" t="s">
        <v>670</v>
      </c>
      <c r="H30" s="4">
        <v>100</v>
      </c>
      <c r="I30" s="4" t="s">
        <v>1091</v>
      </c>
      <c r="J30" s="5">
        <v>1373879.7800000003</v>
      </c>
      <c r="K30" s="5">
        <v>142.43</v>
      </c>
      <c r="L30" s="5">
        <v>407.75</v>
      </c>
      <c r="M30" s="5">
        <v>0</v>
      </c>
      <c r="N30" s="5">
        <v>5927892</v>
      </c>
      <c r="O30" s="5">
        <v>0</v>
      </c>
      <c r="P30" s="5">
        <v>96.69</v>
      </c>
      <c r="Q30" s="5">
        <v>0</v>
      </c>
      <c r="R30" s="5">
        <v>0</v>
      </c>
      <c r="S30" s="5">
        <v>0</v>
      </c>
      <c r="T30" s="5">
        <v>0</v>
      </c>
      <c r="U30" s="5">
        <v>0</v>
      </c>
      <c r="V30" s="5">
        <v>21900.94</v>
      </c>
      <c r="W30" s="5">
        <v>3107.3599999999997</v>
      </c>
      <c r="X30" s="5">
        <v>1789.22</v>
      </c>
      <c r="Y30" s="5">
        <v>0.31</v>
      </c>
      <c r="Z30" s="5">
        <v>2</v>
      </c>
      <c r="AA30" s="5">
        <v>20</v>
      </c>
      <c r="AB30" s="5">
        <v>11</v>
      </c>
      <c r="AC30" s="5">
        <v>21</v>
      </c>
      <c r="AD30" s="5">
        <v>0</v>
      </c>
      <c r="AE30" s="5">
        <v>0</v>
      </c>
      <c r="AF30" s="5">
        <v>0.77</v>
      </c>
      <c r="AG30" s="5">
        <v>0.77</v>
      </c>
      <c r="AH30" s="5">
        <v>0.44900000000000001</v>
      </c>
      <c r="AI30" s="5">
        <v>0</v>
      </c>
      <c r="AJ30" s="5">
        <v>0</v>
      </c>
      <c r="AK30" s="5">
        <v>0</v>
      </c>
      <c r="AL30" s="5">
        <v>53.69</v>
      </c>
      <c r="AM30" s="5">
        <v>0</v>
      </c>
      <c r="AN30" s="5">
        <v>54</v>
      </c>
      <c r="AO30" s="5">
        <f t="shared" si="41"/>
        <v>0</v>
      </c>
      <c r="AP30" s="5">
        <f t="shared" si="49"/>
        <v>0</v>
      </c>
      <c r="AQ30" s="5">
        <v>2.38</v>
      </c>
      <c r="AR30" s="5">
        <v>0.03</v>
      </c>
      <c r="AS30" s="5">
        <v>0</v>
      </c>
      <c r="AT30" s="5">
        <v>45264</v>
      </c>
      <c r="AU30" s="5">
        <v>0</v>
      </c>
      <c r="AV30" s="5">
        <v>984</v>
      </c>
      <c r="AW30" s="199">
        <v>407.75</v>
      </c>
      <c r="AX30" s="199">
        <v>1</v>
      </c>
      <c r="AY30" s="199">
        <v>0</v>
      </c>
      <c r="AZ30" s="199">
        <v>0</v>
      </c>
      <c r="BA30" s="5">
        <v>168548.14</v>
      </c>
      <c r="BB30" s="13">
        <v>345141.24</v>
      </c>
      <c r="BC30" s="101">
        <f>MAX(ROUND(IF(F30&lt;4,IF(H30=0,(SUM(Y30:AD30)*Worksheet!$E$26+Y30*Worksheet!$E$27+AR30*Worksheet!$E$39)*-BaseRate,0)),2),MIN(0,-DI30))</f>
        <v>0</v>
      </c>
      <c r="BD30" s="101">
        <f>MAX(ROUND(IF(F30=4,0,IF(I30=0,0,ROUND(SUM(Y30:AD30)*Worksheet!$E$28,2)*-BaseRate)),2),MIN(0,-DI30-BC30))</f>
        <v>-1279.6300000000001</v>
      </c>
      <c r="BE30" s="130">
        <f t="shared" si="23"/>
        <v>0</v>
      </c>
      <c r="BF30" s="130">
        <f t="shared" si="24"/>
        <v>1403</v>
      </c>
      <c r="BG30" s="73"/>
      <c r="BH30" s="118">
        <f t="shared" si="25"/>
        <v>52965.440000000002</v>
      </c>
      <c r="BI30" s="118">
        <f t="shared" si="26"/>
        <v>9646</v>
      </c>
      <c r="BJ30" s="232">
        <f>IFERROR(ROUND(IF(AND(BB30*1.12&lt;N30*60/1000,N30/CL30&lt;STVPP*0.2),(CL30*STVPP*0.2*Worksheet!$F$88/1000-BB30*1.12)*PropTaxAdj,IF(BB30*1.12&lt;N30*60/1000,(N30*60/1000-BB30*1.12)*PropTaxAdj,0)),2),0)</f>
        <v>0</v>
      </c>
      <c r="BK30" s="116">
        <f>ROUND(IF($F30=4,0,Y30*Worksheet!$E$16),2)</f>
        <v>0.31</v>
      </c>
      <c r="BL30" s="116">
        <f>ROUND(IF($F30=4,0,Z30*Worksheet!$E$17),2)</f>
        <v>2</v>
      </c>
      <c r="BM30" s="116">
        <f>ROUND(IF($F30=4,0,AA30*Worksheet!$E$18),2)</f>
        <v>20</v>
      </c>
      <c r="BN30" s="116">
        <f>ROUND(IF($F30=4,0,AB30*Worksheet!$E$19),2)</f>
        <v>11</v>
      </c>
      <c r="BO30" s="116">
        <f>ROUND(IF($F30=4,0,AC30*Worksheet!$E$20),2)</f>
        <v>21</v>
      </c>
      <c r="BP30" s="116">
        <f>ROUND(AD30*Worksheet!$E$21,2)</f>
        <v>0</v>
      </c>
      <c r="BQ30" s="116">
        <f t="shared" si="27"/>
        <v>54.31</v>
      </c>
      <c r="BR30" s="116">
        <f>ROUND(AD30*Worksheet!$E$25,2)</f>
        <v>0</v>
      </c>
      <c r="BS30" s="116">
        <f>ROUND(SUM(BQ30)*Worksheet!$E$26,2)</f>
        <v>4.78</v>
      </c>
      <c r="BT30" s="116">
        <f>ROUND(Y30*Worksheet!$E$27,2)</f>
        <v>0.05</v>
      </c>
      <c r="BU30" s="116">
        <f>ROUND(AO30*Worksheet!$E$29,2)</f>
        <v>0</v>
      </c>
      <c r="BV30" s="116">
        <f>ROUND(AP30*Worksheet!$E$30,2)</f>
        <v>0</v>
      </c>
      <c r="BW30" s="116">
        <f>ROUND(IF($I30&lt;&gt;0,$BQ30*Worksheet!$E$28,0),2)</f>
        <v>0.11</v>
      </c>
      <c r="BX30" s="116">
        <f>ROUND(AE30*Worksheet!$E$31,2)</f>
        <v>0</v>
      </c>
      <c r="BY30" s="116">
        <f>ROUND(AF30*Worksheet!$E$32,2)</f>
        <v>0.22</v>
      </c>
      <c r="BZ30" s="116">
        <f>ROUND(AG30*Worksheet!$E$33,2)</f>
        <v>0.05</v>
      </c>
      <c r="CA30" s="116">
        <f>ROUND(ROUND(AH30*BQ30,2)*Worksheet!$E$34,2)</f>
        <v>0.61</v>
      </c>
      <c r="CB30" s="116">
        <f>ROUND(AI30*Worksheet!$E$35,2)</f>
        <v>0</v>
      </c>
      <c r="CC30" s="116">
        <f>ROUND(AJ30*Worksheet!$E$36,2)</f>
        <v>0</v>
      </c>
      <c r="CD30" s="116">
        <f>ROUND(AQ30*Worksheet!$E$38,2)</f>
        <v>1.43</v>
      </c>
      <c r="CE30" s="116">
        <f>ROUND(AR30*Worksheet!$E$39,2)</f>
        <v>0.03</v>
      </c>
      <c r="CF30" s="116">
        <f>IF(AND(L30&gt;275,SUM(Y30:AD30)&lt;100),ROUND(SUM(Y30:AD30)*Worksheet!$E$41,2),0)</f>
        <v>5.43</v>
      </c>
      <c r="CG30" s="116">
        <f>IF(AND(L30&gt;600,SUM(Y30:AD30)&lt;50),ROUND((50-SUM(Y30:AD30))*(Worksheet!$E$41+1),2),0)</f>
        <v>0</v>
      </c>
      <c r="CH30" s="116">
        <f t="shared" si="28"/>
        <v>67.02</v>
      </c>
      <c r="CI30" s="116">
        <f t="shared" si="43"/>
        <v>0</v>
      </c>
      <c r="CJ30" s="116">
        <f t="shared" si="44"/>
        <v>67.02</v>
      </c>
      <c r="CK30" s="95">
        <f t="shared" si="29"/>
        <v>1.67</v>
      </c>
      <c r="CL30" s="116">
        <f t="shared" si="45"/>
        <v>111.92</v>
      </c>
      <c r="CM30" s="116">
        <f t="shared" si="46"/>
        <v>111.92</v>
      </c>
      <c r="CN30" s="116">
        <f t="shared" si="30"/>
        <v>1301965.3600000001</v>
      </c>
      <c r="CO30" s="131">
        <f>ROUND(IF(F30=4,0,(MAX(ROUND(MAX((BI30*MIN(CL30,K30)*Worksheet!$D$126)+MAX(CL30-K30,0)*Worksheet!$F$50,SUM(J30)),2),SUM(CN30))-SUM(CN30))*MinAdj),2)</f>
        <v>10787.16</v>
      </c>
      <c r="CP30" s="116">
        <f t="shared" si="31"/>
        <v>1312752.52</v>
      </c>
      <c r="CQ30" s="131">
        <f>IF(CL30=0,0,-MIN(CP30,MIN(CP30,ROUND(IF(ROUND(IF(CL30=0,0,N30/CL30),2)&lt;STVPP*0.2,STVPP*0.2*CL30*Worksheet!$F$88/1000,N30*Worksheet!$F$88/1000),2))))</f>
        <v>-355673.52</v>
      </c>
      <c r="CR30" s="131">
        <f>-MIN(SUM(CP30,CQ30),IF($P30=0,(ROUND(Worksheet!$E$77*S30,2)+ROUND(Worksheet!$E$78*T30,2)+ROUND(Worksheet!$E$79*U30,2)+ROUND(Worksheet!$E$80*V30,2)+ROUND(Worksheet!$E$81*W30,2)+ROUND(Worksheet!$E$82*X30,2)),(ROUND(ROUND(S30*ROUND((1-$O30/$P30),4),2)*Worksheet!$E$77,2)+ROUND(ROUND(T30*ROUND((1-$O30/$P30),4),2)*Worksheet!$E$78,2)+ROUND(ROUND(U30*ROUND((1-$O30/$P30),4),2)*Worksheet!$E$79,2)+ROUND(ROUND(V30*ROUND((1-$O30/$P30),4),2)*Worksheet!$E$80,2)+ROUND(ROUND(W30*ROUND((1-$O30/$P30),4),2)*Worksheet!$E$81,2)+ROUND(ROUND(X30*ROUND((1-$O30/$P30),4),2)*Worksheet!$E$82,2))))</f>
        <v>-20098.150000000001</v>
      </c>
      <c r="CS30" s="116">
        <f t="shared" si="32"/>
        <v>936980.85</v>
      </c>
      <c r="CT30" s="116">
        <f>ROUND(MIN(BA30,ROUND((ROUND(AS30*Worksheet!$E$104,2)+ROUND(AV30*Worksheet!$E$107,2)+ROUND(AT30*Worksheet!$E$105,2)+ROUND(AW30*Worksheet!$E$108,2)+ROUND(AU30*Worksheet!$E$106,2)+ROUND(AX30*Worksheet!$E$109,2)+ROUND(AY30*Worksheet!$E$110,2)+ROUND(AZ30*Worksheet!$E$111,2))*Worksheet!$D$114,2))*BaseRate,2)</f>
        <v>70379.649999999994</v>
      </c>
      <c r="CU30" s="121">
        <v>0</v>
      </c>
      <c r="CV30" s="121">
        <v>0</v>
      </c>
      <c r="CW30" s="121">
        <v>0</v>
      </c>
      <c r="CX30" s="121">
        <v>0</v>
      </c>
      <c r="CY30" s="121">
        <v>0</v>
      </c>
      <c r="DA30" s="116">
        <f t="shared" si="33"/>
        <v>0</v>
      </c>
      <c r="DB30" s="116">
        <f>MAX(-CT30,MIN(0,ROUND($R30*EFBPercent+EFBAdd,2)-$Q30),MIN(0,SUM($CS30:CS30)+MIN(0,ROUND($R30*EFBPercent+EFBAdd,2)-$Q30)))</f>
        <v>0</v>
      </c>
      <c r="DC30" s="192">
        <f>IF(CU30&lt;0,0,MAX(-CU30,MIN(0,ROUND($R30*EFBPercent+EFBAdd,2)-$Q30),MIN(0,SUM($CS30:CT30)+MIN(0,ROUND($R30*EFBPercent+EFBAdd,2)-$Q30))))</f>
        <v>0</v>
      </c>
      <c r="DD30" s="192">
        <f>IF(CV30&lt;0,0,MAX(-CV30,MIN(0,ROUND($R30*EFBPercent+EFBAdd,2)-$Q30),MIN(0,SUM($CS30:CU30)+MIN(0,ROUND($R30*EFBPercent+EFBAdd,2)-$Q30))))</f>
        <v>0</v>
      </c>
      <c r="DE30" s="192">
        <f>IF(CW30&lt;0,0,MAX(-CW30,MIN(0,ROUND($R30*EFBPercent+EFBAdd,2)-$Q30),MIN(0,SUM($CS30:CV30)+MIN(0,ROUND($R30*EFBPercent+EFBAdd,2)-$Q30))))</f>
        <v>0</v>
      </c>
      <c r="DF30" s="192">
        <f>IF(CX30&lt;0,0,MAX(-CX30,MIN(0,ROUND($R30*EFBPercent+EFBAdd,2)-$Q30),MIN(0,SUM($CS30:CW30)+MIN(0,ROUND($R30*EFBPercent+EFBAdd,2)-$Q30))))</f>
        <v>0</v>
      </c>
      <c r="DG30" s="116">
        <f>MAX(-CY30,MIN(0,ROUND($R30*EFBPercent+EFBAdd,2)-$Q30),MIN(0,SUM($CS30:CX30)+MIN(0,ROUND($R30*EFBPercent+EFBAdd,2)-$Q30)))</f>
        <v>0</v>
      </c>
      <c r="DI30" s="73">
        <f t="shared" si="34"/>
        <v>936980.85</v>
      </c>
      <c r="DJ30" s="73">
        <f t="shared" si="35"/>
        <v>70379.649999999994</v>
      </c>
      <c r="DK30" s="73">
        <f t="shared" si="36"/>
        <v>0</v>
      </c>
      <c r="DL30" s="73">
        <f t="shared" si="37"/>
        <v>0</v>
      </c>
      <c r="DM30" s="73">
        <f t="shared" si="38"/>
        <v>0</v>
      </c>
      <c r="DN30" s="73">
        <f t="shared" si="39"/>
        <v>0</v>
      </c>
      <c r="DO30" s="73">
        <f t="shared" si="40"/>
        <v>0</v>
      </c>
      <c r="DP30" s="73"/>
      <c r="DQ30" s="73"/>
    </row>
    <row r="31" spans="1:121" ht="10.199999999999999" x14ac:dyDescent="0.2">
      <c r="A31" s="4" t="s">
        <v>519</v>
      </c>
      <c r="B31" s="72">
        <v>1101</v>
      </c>
      <c r="C31" s="13" t="s">
        <v>45</v>
      </c>
      <c r="D31" s="4">
        <v>2027</v>
      </c>
      <c r="E31" s="4" t="s">
        <v>362</v>
      </c>
      <c r="F31" s="4">
        <v>2</v>
      </c>
      <c r="G31" s="4" t="s">
        <v>661</v>
      </c>
      <c r="H31" s="4">
        <v>0</v>
      </c>
      <c r="I31" s="4" t="s">
        <v>1091</v>
      </c>
      <c r="J31" s="5">
        <v>616041.59</v>
      </c>
      <c r="K31" s="5">
        <v>52.58</v>
      </c>
      <c r="L31" s="5">
        <v>143.75</v>
      </c>
      <c r="M31" s="5">
        <v>0</v>
      </c>
      <c r="N31" s="5">
        <v>4571693</v>
      </c>
      <c r="O31" s="5">
        <v>0</v>
      </c>
      <c r="P31" s="5">
        <v>60.64</v>
      </c>
      <c r="Q31" s="5">
        <v>0</v>
      </c>
      <c r="R31" s="5">
        <v>0</v>
      </c>
      <c r="S31" s="5">
        <v>0</v>
      </c>
      <c r="T31" s="5">
        <v>0</v>
      </c>
      <c r="U31" s="5">
        <v>0</v>
      </c>
      <c r="V31" s="5">
        <v>5596.61</v>
      </c>
      <c r="W31" s="5">
        <v>1488.51</v>
      </c>
      <c r="X31" s="5">
        <v>4011.28</v>
      </c>
      <c r="Y31" s="5">
        <v>0</v>
      </c>
      <c r="Z31" s="5">
        <v>2</v>
      </c>
      <c r="AA31" s="5">
        <v>33</v>
      </c>
      <c r="AB31" s="5">
        <v>14</v>
      </c>
      <c r="AC31" s="5">
        <v>0</v>
      </c>
      <c r="AD31" s="5">
        <v>0</v>
      </c>
      <c r="AE31" s="5">
        <v>0</v>
      </c>
      <c r="AF31" s="5">
        <v>0</v>
      </c>
      <c r="AG31" s="5">
        <v>0</v>
      </c>
      <c r="AH31" s="5">
        <v>8.6999999999999994E-2</v>
      </c>
      <c r="AI31" s="5">
        <v>0</v>
      </c>
      <c r="AJ31" s="5">
        <v>0</v>
      </c>
      <c r="AK31" s="5">
        <v>0</v>
      </c>
      <c r="AL31" s="5">
        <v>48.480000000000004</v>
      </c>
      <c r="AM31" s="5">
        <v>0</v>
      </c>
      <c r="AN31" s="5">
        <v>49</v>
      </c>
      <c r="AO31" s="5">
        <f t="shared" si="41"/>
        <v>0</v>
      </c>
      <c r="AP31" s="5">
        <f t="shared" si="49"/>
        <v>0</v>
      </c>
      <c r="AQ31" s="5">
        <v>0</v>
      </c>
      <c r="AR31" s="5">
        <v>0</v>
      </c>
      <c r="AS31" s="5">
        <v>0</v>
      </c>
      <c r="AT31" s="5">
        <v>30600</v>
      </c>
      <c r="AU31" s="5">
        <v>0</v>
      </c>
      <c r="AV31" s="5">
        <v>340</v>
      </c>
      <c r="AW31" s="199">
        <v>143.75</v>
      </c>
      <c r="AX31" s="199">
        <v>1</v>
      </c>
      <c r="AY31" s="199">
        <v>0</v>
      </c>
      <c r="AZ31" s="199">
        <v>0</v>
      </c>
      <c r="BA31" s="5">
        <v>136329.68</v>
      </c>
      <c r="BB31" s="13">
        <v>258231.72</v>
      </c>
      <c r="BC31" s="101">
        <f>MAX(ROUND(IF(F31&lt;4,IF(H31=0,(SUM(Y31:AD31)*Worksheet!$E$26+Y31*Worksheet!$E$27+AR31*Worksheet!$E$39)*-BaseRate,0)),2),MIN(0,-DI31))</f>
        <v>-50161.5</v>
      </c>
      <c r="BD31" s="101">
        <f>MAX(ROUND(IF(F31=4,0,IF(I31=0,0,ROUND(SUM(Y31:AD31)*Worksheet!$E$28,2)*-BaseRate)),2),MIN(0,-DI31-BC31))</f>
        <v>-1163.3</v>
      </c>
      <c r="BE31" s="130">
        <f t="shared" si="23"/>
        <v>2502</v>
      </c>
      <c r="BF31" s="130">
        <f t="shared" si="24"/>
        <v>1403</v>
      </c>
      <c r="BG31" s="73"/>
      <c r="BH31" s="118">
        <f t="shared" si="25"/>
        <v>51148.95</v>
      </c>
      <c r="BI31" s="118">
        <f t="shared" si="26"/>
        <v>11716.27</v>
      </c>
      <c r="BJ31" s="232">
        <f>IFERROR(ROUND(IF(AND(BB31*1.12&lt;N31*60/1000,N31/CL31&lt;STVPP*0.2),(CL31*STVPP*0.2*Worksheet!$F$88/1000-BB31*1.12)*PropTaxAdj,IF(BB31*1.12&lt;N31*60/1000,(N31*60/1000-BB31*1.12)*PropTaxAdj,0)),2),0)</f>
        <v>0</v>
      </c>
      <c r="BK31" s="116">
        <f>ROUND(IF($F31=4,0,Y31*Worksheet!$E$16),2)</f>
        <v>0</v>
      </c>
      <c r="BL31" s="116">
        <f>ROUND(IF($F31=4,0,Z31*Worksheet!$E$17),2)</f>
        <v>2</v>
      </c>
      <c r="BM31" s="116">
        <f>ROUND(IF($F31=4,0,AA31*Worksheet!$E$18),2)</f>
        <v>33</v>
      </c>
      <c r="BN31" s="116">
        <f>ROUND(IF($F31=4,0,AB31*Worksheet!$E$19),2)</f>
        <v>14</v>
      </c>
      <c r="BO31" s="116">
        <f>ROUND(IF($F31=4,0,AC31*Worksheet!$E$20),2)</f>
        <v>0</v>
      </c>
      <c r="BP31" s="116">
        <f>ROUND(AD31*Worksheet!$E$21,2)</f>
        <v>0</v>
      </c>
      <c r="BQ31" s="116">
        <f t="shared" si="27"/>
        <v>49</v>
      </c>
      <c r="BR31" s="116">
        <f>ROUND(AD31*Worksheet!$E$25,2)</f>
        <v>0</v>
      </c>
      <c r="BS31" s="116">
        <f>ROUND(SUM(BQ31)*Worksheet!$E$26,2)</f>
        <v>4.3099999999999996</v>
      </c>
      <c r="BT31" s="116">
        <f>ROUND(Y31*Worksheet!$E$27,2)</f>
        <v>0</v>
      </c>
      <c r="BU31" s="116">
        <f>ROUND(AO31*Worksheet!$E$29,2)</f>
        <v>0</v>
      </c>
      <c r="BV31" s="116">
        <f>ROUND(AP31*Worksheet!$E$30,2)</f>
        <v>0</v>
      </c>
      <c r="BW31" s="116">
        <f>ROUND(IF($I31&lt;&gt;0,$BQ31*Worksheet!$E$28,0),2)</f>
        <v>0.1</v>
      </c>
      <c r="BX31" s="116">
        <f>ROUND(AE31*Worksheet!$E$31,2)</f>
        <v>0</v>
      </c>
      <c r="BY31" s="116">
        <f>ROUND(AF31*Worksheet!$E$32,2)</f>
        <v>0</v>
      </c>
      <c r="BZ31" s="116">
        <f>ROUND(AG31*Worksheet!$E$33,2)</f>
        <v>0</v>
      </c>
      <c r="CA31" s="116">
        <f>ROUND(ROUND(AH31*BQ31,2)*Worksheet!$E$34,2)</f>
        <v>0.11</v>
      </c>
      <c r="CB31" s="116">
        <f>ROUND(AI31*Worksheet!$E$35,2)</f>
        <v>0</v>
      </c>
      <c r="CC31" s="116">
        <f>ROUND(AJ31*Worksheet!$E$36,2)</f>
        <v>0</v>
      </c>
      <c r="CD31" s="116">
        <f>ROUND(AQ31*Worksheet!$E$38,2)</f>
        <v>0</v>
      </c>
      <c r="CE31" s="116">
        <f>ROUND(AR31*Worksheet!$E$39,2)</f>
        <v>0</v>
      </c>
      <c r="CF31" s="116">
        <f>IF(AND(L31&gt;275,SUM(Y31:AD31)&lt;100),ROUND(SUM(Y31:AD31)*Worksheet!$E$41,2),0)</f>
        <v>0</v>
      </c>
      <c r="CG31" s="116">
        <f>IF(AND(L31&gt;600,SUM(Y31:AD31)&lt;50),ROUND((50-SUM(Y31:AD31))*(Worksheet!$E$41+1),2),0)</f>
        <v>0</v>
      </c>
      <c r="CH31" s="116">
        <f t="shared" si="28"/>
        <v>53.52</v>
      </c>
      <c r="CI31" s="116">
        <f t="shared" si="43"/>
        <v>0</v>
      </c>
      <c r="CJ31" s="116">
        <f t="shared" si="44"/>
        <v>53.52</v>
      </c>
      <c r="CK31" s="95">
        <f t="shared" si="29"/>
        <v>1.67</v>
      </c>
      <c r="CL31" s="116">
        <f t="shared" si="45"/>
        <v>89.38</v>
      </c>
      <c r="CM31" s="116">
        <f t="shared" si="46"/>
        <v>89.38</v>
      </c>
      <c r="CN31" s="116">
        <f t="shared" si="30"/>
        <v>1039757.54</v>
      </c>
      <c r="CO31" s="131">
        <f>ROUND(IF(F31=4,0,(MAX(ROUND(MAX((BI31*MIN(CL31,K31)*Worksheet!$D$126)+MAX(CL31-K31,0)*Worksheet!$F$50,SUM(J31)),2),SUM(CN31))-SUM(CN31))*MinAdj),2)</f>
        <v>2504.88</v>
      </c>
      <c r="CP31" s="116">
        <f t="shared" si="31"/>
        <v>1042262.42</v>
      </c>
      <c r="CQ31" s="131">
        <f>IF(CL31=0,0,-MIN(CP31,MIN(CP31,ROUND(IF(ROUND(IF(CL31=0,0,N31/CL31),2)&lt;STVPP*0.2,STVPP*0.2*CL31*Worksheet!$F$88/1000,N31*Worksheet!$F$88/1000),2))))</f>
        <v>-274301.58</v>
      </c>
      <c r="CR31" s="131">
        <f>-MIN(SUM(CP31,CQ31),IF($P31=0,(ROUND(Worksheet!$E$77*S31,2)+ROUND(Worksheet!$E$78*T31,2)+ROUND(Worksheet!$E$79*U31,2)+ROUND(Worksheet!$E$80*V31,2)+ROUND(Worksheet!$E$81*W31,2)+ROUND(Worksheet!$E$82*X31,2)),(ROUND(ROUND(S31*ROUND((1-$O31/$P31),4),2)*Worksheet!$E$77,2)+ROUND(ROUND(T31*ROUND((1-$O31/$P31),4),2)*Worksheet!$E$78,2)+ROUND(ROUND(U31*ROUND((1-$O31/$P31),4),2)*Worksheet!$E$79,2)+ROUND(ROUND(V31*ROUND((1-$O31/$P31),4),2)*Worksheet!$E$80,2)+ROUND(ROUND(W31*ROUND((1-$O31/$P31),4),2)*Worksheet!$E$81,2)+ROUND(ROUND(X31*ROUND((1-$O31/$P31),4),2)*Worksheet!$E$82,2))))</f>
        <v>-8322.2999999999993</v>
      </c>
      <c r="CS31" s="116">
        <f t="shared" si="32"/>
        <v>759638.54</v>
      </c>
      <c r="CT31" s="116">
        <f>ROUND(MIN(BA31,ROUND((ROUND(AS31*Worksheet!$E$104,2)+ROUND(AV31*Worksheet!$E$107,2)+ROUND(AT31*Worksheet!$E$105,2)+ROUND(AW31*Worksheet!$E$108,2)+ROUND(AU31*Worksheet!$E$106,2)+ROUND(AX31*Worksheet!$E$109,2)+ROUND(AY31*Worksheet!$E$110,2)+ROUND(AZ31*Worksheet!$E$111,2))*Worksheet!$D$114,2))*BaseRate,2)</f>
        <v>43158.43</v>
      </c>
      <c r="CU31" s="121">
        <v>0</v>
      </c>
      <c r="CV31" s="121">
        <v>0</v>
      </c>
      <c r="CW31" s="121">
        <v>0</v>
      </c>
      <c r="CX31" s="121">
        <v>0</v>
      </c>
      <c r="CY31" s="121">
        <v>0</v>
      </c>
      <c r="DA31" s="116">
        <f t="shared" si="33"/>
        <v>0</v>
      </c>
      <c r="DB31" s="116">
        <f>MAX(-CT31,MIN(0,ROUND($R31*EFBPercent+EFBAdd,2)-$Q31),MIN(0,SUM($CS31:CS31)+MIN(0,ROUND($R31*EFBPercent+EFBAdd,2)-$Q31)))</f>
        <v>0</v>
      </c>
      <c r="DC31" s="192">
        <f>IF(CU31&lt;0,0,MAX(-CU31,MIN(0,ROUND($R31*EFBPercent+EFBAdd,2)-$Q31),MIN(0,SUM($CS31:CT31)+MIN(0,ROUND($R31*EFBPercent+EFBAdd,2)-$Q31))))</f>
        <v>0</v>
      </c>
      <c r="DD31" s="192">
        <f>IF(CV31&lt;0,0,MAX(-CV31,MIN(0,ROUND($R31*EFBPercent+EFBAdd,2)-$Q31),MIN(0,SUM($CS31:CU31)+MIN(0,ROUND($R31*EFBPercent+EFBAdd,2)-$Q31))))</f>
        <v>0</v>
      </c>
      <c r="DE31" s="192">
        <f>IF(CW31&lt;0,0,MAX(-CW31,MIN(0,ROUND($R31*EFBPercent+EFBAdd,2)-$Q31),MIN(0,SUM($CS31:CV31)+MIN(0,ROUND($R31*EFBPercent+EFBAdd,2)-$Q31))))</f>
        <v>0</v>
      </c>
      <c r="DF31" s="192">
        <f>IF(CX31&lt;0,0,MAX(-CX31,MIN(0,ROUND($R31*EFBPercent+EFBAdd,2)-$Q31),MIN(0,SUM($CS31:CW31)+MIN(0,ROUND($R31*EFBPercent+EFBAdd,2)-$Q31))))</f>
        <v>0</v>
      </c>
      <c r="DG31" s="116">
        <f>MAX(-CY31,MIN(0,ROUND($R31*EFBPercent+EFBAdd,2)-$Q31),MIN(0,SUM($CS31:CX31)+MIN(0,ROUND($R31*EFBPercent+EFBAdd,2)-$Q31)))</f>
        <v>0</v>
      </c>
      <c r="DI31" s="73">
        <f t="shared" si="34"/>
        <v>759638.54</v>
      </c>
      <c r="DJ31" s="73">
        <f t="shared" si="35"/>
        <v>43158.43</v>
      </c>
      <c r="DK31" s="73">
        <f t="shared" si="36"/>
        <v>0</v>
      </c>
      <c r="DL31" s="73">
        <f t="shared" si="37"/>
        <v>0</v>
      </c>
      <c r="DM31" s="73">
        <f t="shared" si="38"/>
        <v>0</v>
      </c>
      <c r="DN31" s="73">
        <f t="shared" si="39"/>
        <v>0</v>
      </c>
      <c r="DO31" s="73">
        <f t="shared" si="40"/>
        <v>0</v>
      </c>
      <c r="DP31" s="73"/>
      <c r="DQ31" s="73"/>
    </row>
    <row r="32" spans="1:121" ht="10.199999999999999" x14ac:dyDescent="0.2">
      <c r="A32" s="4" t="s">
        <v>520</v>
      </c>
      <c r="B32" s="72">
        <v>1152</v>
      </c>
      <c r="C32" s="13" t="s">
        <v>46</v>
      </c>
      <c r="D32" s="4">
        <v>2027</v>
      </c>
      <c r="E32" s="4" t="s">
        <v>363</v>
      </c>
      <c r="F32" s="4">
        <v>2</v>
      </c>
      <c r="G32" s="4" t="s">
        <v>661</v>
      </c>
      <c r="H32" s="4">
        <v>0</v>
      </c>
      <c r="I32" s="4" t="s">
        <v>1091</v>
      </c>
      <c r="J32" s="5">
        <v>532683.86</v>
      </c>
      <c r="K32" s="5">
        <v>28.45</v>
      </c>
      <c r="L32" s="5">
        <v>181.5</v>
      </c>
      <c r="M32" s="5">
        <v>0</v>
      </c>
      <c r="N32" s="5">
        <v>7013284</v>
      </c>
      <c r="O32" s="5">
        <v>0</v>
      </c>
      <c r="P32" s="5">
        <v>81.670000000000016</v>
      </c>
      <c r="Q32" s="5">
        <v>0</v>
      </c>
      <c r="R32" s="5">
        <v>0</v>
      </c>
      <c r="S32" s="5">
        <v>0</v>
      </c>
      <c r="T32" s="5">
        <v>0</v>
      </c>
      <c r="U32" s="5">
        <v>0</v>
      </c>
      <c r="V32" s="5">
        <v>10962.88</v>
      </c>
      <c r="W32" s="5">
        <v>3351.59</v>
      </c>
      <c r="X32" s="5">
        <v>12180.93</v>
      </c>
      <c r="Y32" s="5">
        <v>0</v>
      </c>
      <c r="Z32" s="5">
        <v>2</v>
      </c>
      <c r="AA32" s="5">
        <v>13</v>
      </c>
      <c r="AB32" s="5">
        <v>2</v>
      </c>
      <c r="AC32" s="5">
        <v>0</v>
      </c>
      <c r="AD32" s="5">
        <v>0</v>
      </c>
      <c r="AE32" s="5">
        <v>0</v>
      </c>
      <c r="AF32" s="5">
        <v>0</v>
      </c>
      <c r="AG32" s="5">
        <v>0</v>
      </c>
      <c r="AH32" s="5">
        <v>0.6</v>
      </c>
      <c r="AI32" s="5">
        <v>0</v>
      </c>
      <c r="AJ32" s="5">
        <v>0</v>
      </c>
      <c r="AK32" s="5">
        <v>0</v>
      </c>
      <c r="AL32" s="5">
        <v>16.78</v>
      </c>
      <c r="AM32" s="5">
        <v>0.74000000000000199</v>
      </c>
      <c r="AN32" s="5">
        <v>17</v>
      </c>
      <c r="AO32" s="5">
        <f t="shared" si="41"/>
        <v>0</v>
      </c>
      <c r="AP32" s="5">
        <f t="shared" si="49"/>
        <v>0</v>
      </c>
      <c r="AQ32" s="5">
        <v>0</v>
      </c>
      <c r="AR32" s="5">
        <v>0</v>
      </c>
      <c r="AS32" s="5">
        <v>0</v>
      </c>
      <c r="AT32" s="5">
        <v>32550</v>
      </c>
      <c r="AU32" s="5">
        <v>0</v>
      </c>
      <c r="AV32" s="5">
        <v>700</v>
      </c>
      <c r="AW32" s="199">
        <v>181.5</v>
      </c>
      <c r="AX32" s="199">
        <v>1</v>
      </c>
      <c r="AY32" s="199">
        <v>0</v>
      </c>
      <c r="AZ32" s="199">
        <v>0</v>
      </c>
      <c r="BA32" s="5">
        <v>61372.94</v>
      </c>
      <c r="BB32" s="13">
        <v>352374.99</v>
      </c>
      <c r="BC32" s="101">
        <f>MAX(ROUND(IF(F32&lt;4,IF(H32=0,(SUM(Y32:AD32)*Worksheet!$E$26+Y32*Worksheet!$E$27+AR32*Worksheet!$E$39)*-BaseRate,0)),2),MIN(0,-DI32))</f>
        <v>0</v>
      </c>
      <c r="BD32" s="101">
        <f>MAX(ROUND(IF(F32=4,0,IF(I32=0,0,ROUND(SUM(Y32:AD32)*Worksheet!$E$28,2)*-BaseRate)),2),MIN(0,-DI32-BC32))</f>
        <v>0</v>
      </c>
      <c r="BE32" s="130">
        <f t="shared" si="23"/>
        <v>0</v>
      </c>
      <c r="BF32" s="130">
        <f t="shared" si="24"/>
        <v>0</v>
      </c>
      <c r="BG32" s="73"/>
      <c r="BH32" s="118">
        <f t="shared" si="25"/>
        <v>223495.35</v>
      </c>
      <c r="BI32" s="118">
        <f t="shared" si="26"/>
        <v>18723.509999999998</v>
      </c>
      <c r="BJ32" s="232">
        <f>IFERROR(ROUND(IF(AND(BB32*1.12&lt;N32*60/1000,N32/CL32&lt;STVPP*0.2),(CL32*STVPP*0.2*Worksheet!$F$88/1000-BB32*1.12)*PropTaxAdj,IF(BB32*1.12&lt;N32*60/1000,(N32*60/1000-BB32*1.12)*PropTaxAdj,0)),2),0)</f>
        <v>20909.64</v>
      </c>
      <c r="BK32" s="116">
        <f>ROUND(IF($F32=4,0,Y32*Worksheet!$E$16),2)</f>
        <v>0</v>
      </c>
      <c r="BL32" s="116">
        <f>ROUND(IF($F32=4,0,Z32*Worksheet!$E$17),2)</f>
        <v>2</v>
      </c>
      <c r="BM32" s="116">
        <f>ROUND(IF($F32=4,0,AA32*Worksheet!$E$18),2)</f>
        <v>13</v>
      </c>
      <c r="BN32" s="116">
        <f>ROUND(IF($F32=4,0,AB32*Worksheet!$E$19),2)</f>
        <v>2</v>
      </c>
      <c r="BO32" s="116">
        <f>ROUND(IF($F32=4,0,AC32*Worksheet!$E$20),2)</f>
        <v>0</v>
      </c>
      <c r="BP32" s="116">
        <f>ROUND(AD32*Worksheet!$E$21,2)</f>
        <v>0</v>
      </c>
      <c r="BQ32" s="116">
        <f t="shared" si="27"/>
        <v>17</v>
      </c>
      <c r="BR32" s="116">
        <f>ROUND(AD32*Worksheet!$E$25,2)</f>
        <v>0</v>
      </c>
      <c r="BS32" s="116">
        <f>ROUND(SUM(BQ32)*Worksheet!$E$26,2)</f>
        <v>1.5</v>
      </c>
      <c r="BT32" s="116">
        <f>ROUND(Y32*Worksheet!$E$27,2)</f>
        <v>0</v>
      </c>
      <c r="BU32" s="116">
        <f>ROUND(AO32*Worksheet!$E$29,2)</f>
        <v>0</v>
      </c>
      <c r="BV32" s="116">
        <f>ROUND(AP32*Worksheet!$E$30,2)</f>
        <v>0</v>
      </c>
      <c r="BW32" s="116">
        <f>ROUND(IF($I32&lt;&gt;0,$BQ32*Worksheet!$E$28,0),2)</f>
        <v>0.03</v>
      </c>
      <c r="BX32" s="116">
        <f>ROUND(AE32*Worksheet!$E$31,2)</f>
        <v>0</v>
      </c>
      <c r="BY32" s="116">
        <f>ROUND(AF32*Worksheet!$E$32,2)</f>
        <v>0</v>
      </c>
      <c r="BZ32" s="116">
        <f>ROUND(AG32*Worksheet!$E$33,2)</f>
        <v>0</v>
      </c>
      <c r="CA32" s="116">
        <f>ROUND(ROUND(AH32*BQ32,2)*Worksheet!$E$34,2)</f>
        <v>0.26</v>
      </c>
      <c r="CB32" s="116">
        <f>ROUND(AI32*Worksheet!$E$35,2)</f>
        <v>0</v>
      </c>
      <c r="CC32" s="116">
        <f>ROUND(AJ32*Worksheet!$E$36,2)</f>
        <v>0</v>
      </c>
      <c r="CD32" s="116">
        <f>ROUND(AQ32*Worksheet!$E$38,2)</f>
        <v>0</v>
      </c>
      <c r="CE32" s="116">
        <f>ROUND(AR32*Worksheet!$E$39,2)</f>
        <v>0</v>
      </c>
      <c r="CF32" s="116">
        <f>IF(AND(L32&gt;275,SUM(Y32:AD32)&lt;100),ROUND(SUM(Y32:AD32)*Worksheet!$E$41,2),0)</f>
        <v>0</v>
      </c>
      <c r="CG32" s="116">
        <f>IF(AND(L32&gt;600,SUM(Y32:AD32)&lt;50),ROUND((50-SUM(Y32:AD32))*(Worksheet!$E$41+1),2),0)</f>
        <v>0</v>
      </c>
      <c r="CH32" s="116">
        <f t="shared" si="28"/>
        <v>18.790000000000003</v>
      </c>
      <c r="CI32" s="116">
        <f t="shared" si="43"/>
        <v>0</v>
      </c>
      <c r="CJ32" s="116">
        <f t="shared" si="44"/>
        <v>18.790000000000003</v>
      </c>
      <c r="CK32" s="95">
        <f t="shared" si="29"/>
        <v>1.67</v>
      </c>
      <c r="CL32" s="116">
        <f t="shared" si="45"/>
        <v>31.38</v>
      </c>
      <c r="CM32" s="116">
        <f t="shared" si="46"/>
        <v>31.38</v>
      </c>
      <c r="CN32" s="116">
        <f t="shared" si="30"/>
        <v>365043.54</v>
      </c>
      <c r="CO32" s="131">
        <f>ROUND(IF(F32=4,0,(MAX(ROUND(MAX((BI32*MIN(CL32,K32)*Worksheet!$D$126)+MAX(CL32-K32,0)*Worksheet!$F$50,SUM(J32)),2),SUM(CN32))-SUM(CN32))*MinAdj),2)</f>
        <v>31856.799999999999</v>
      </c>
      <c r="CP32" s="116">
        <f t="shared" si="31"/>
        <v>396900.33999999997</v>
      </c>
      <c r="CQ32" s="131">
        <f>IF(CL32=0,0,-MIN(CP32,MIN(CP32,ROUND(IF(ROUND(IF(CL32=0,0,N32/CL32),2)&lt;STVPP*0.2,STVPP*0.2*CL32*Worksheet!$F$88/1000,N32*Worksheet!$F$88/1000),2))))</f>
        <v>-396900.33999999997</v>
      </c>
      <c r="CR32" s="131">
        <f>-MIN(SUM(CP32,CQ32),IF($P32=0,(ROUND(Worksheet!$E$77*S32,2)+ROUND(Worksheet!$E$78*T32,2)+ROUND(Worksheet!$E$79*U32,2)+ROUND(Worksheet!$E$80*V32,2)+ROUND(Worksheet!$E$81*W32,2)+ROUND(Worksheet!$E$82*X32,2)),(ROUND(ROUND(S32*ROUND((1-$O32/$P32),4),2)*Worksheet!$E$77,2)+ROUND(ROUND(T32*ROUND((1-$O32/$P32),4),2)*Worksheet!$E$78,2)+ROUND(ROUND(U32*ROUND((1-$O32/$P32),4),2)*Worksheet!$E$79,2)+ROUND(ROUND(V32*ROUND((1-$O32/$P32),4),2)*Worksheet!$E$80,2)+ROUND(ROUND(W32*ROUND((1-$O32/$P32),4),2)*Worksheet!$E$81,2)+ROUND(ROUND(X32*ROUND((1-$O32/$P32),4),2)*Worksheet!$E$82,2))))</f>
        <v>0</v>
      </c>
      <c r="CS32" s="116">
        <f t="shared" si="32"/>
        <v>0</v>
      </c>
      <c r="CT32" s="116">
        <f>ROUND(MIN(BA32,ROUND((ROUND(AS32*Worksheet!$E$104,2)+ROUND(AV32*Worksheet!$E$107,2)+ROUND(AT32*Worksheet!$E$105,2)+ROUND(AW32*Worksheet!$E$108,2)+ROUND(AU32*Worksheet!$E$106,2)+ROUND(AX32*Worksheet!$E$109,2)+ROUND(AY32*Worksheet!$E$110,2)+ROUND(AZ32*Worksheet!$E$111,2))*Worksheet!$D$114,2))*BaseRate,2)</f>
        <v>49789.24</v>
      </c>
      <c r="CU32" s="121">
        <v>0</v>
      </c>
      <c r="CV32" s="121">
        <v>0</v>
      </c>
      <c r="CW32" s="121">
        <v>0</v>
      </c>
      <c r="CX32" s="121">
        <v>0</v>
      </c>
      <c r="CY32" s="121">
        <v>0</v>
      </c>
      <c r="DA32" s="116">
        <f t="shared" si="33"/>
        <v>0</v>
      </c>
      <c r="DB32" s="116">
        <f>MAX(-CT32,MIN(0,ROUND($R32*EFBPercent+EFBAdd,2)-$Q32),MIN(0,SUM($CS32:CS32)+MIN(0,ROUND($R32*EFBPercent+EFBAdd,2)-$Q32)))</f>
        <v>0</v>
      </c>
      <c r="DC32" s="192">
        <f>IF(CU32&lt;0,0,MAX(-CU32,MIN(0,ROUND($R32*EFBPercent+EFBAdd,2)-$Q32),MIN(0,SUM($CS32:CT32)+MIN(0,ROUND($R32*EFBPercent+EFBAdd,2)-$Q32))))</f>
        <v>0</v>
      </c>
      <c r="DD32" s="192">
        <f>IF(CV32&lt;0,0,MAX(-CV32,MIN(0,ROUND($R32*EFBPercent+EFBAdd,2)-$Q32),MIN(0,SUM($CS32:CU32)+MIN(0,ROUND($R32*EFBPercent+EFBAdd,2)-$Q32))))</f>
        <v>0</v>
      </c>
      <c r="DE32" s="192">
        <f>IF(CW32&lt;0,0,MAX(-CW32,MIN(0,ROUND($R32*EFBPercent+EFBAdd,2)-$Q32),MIN(0,SUM($CS32:CV32)+MIN(0,ROUND($R32*EFBPercent+EFBAdd,2)-$Q32))))</f>
        <v>0</v>
      </c>
      <c r="DF32" s="192">
        <f>IF(CX32&lt;0,0,MAX(-CX32,MIN(0,ROUND($R32*EFBPercent+EFBAdd,2)-$Q32),MIN(0,SUM($CS32:CW32)+MIN(0,ROUND($R32*EFBPercent+EFBAdd,2)-$Q32))))</f>
        <v>0</v>
      </c>
      <c r="DG32" s="116">
        <f>MAX(-CY32,MIN(0,ROUND($R32*EFBPercent+EFBAdd,2)-$Q32),MIN(0,SUM($CS32:CX32)+MIN(0,ROUND($R32*EFBPercent+EFBAdd,2)-$Q32)))</f>
        <v>0</v>
      </c>
      <c r="DI32" s="73">
        <f t="shared" si="34"/>
        <v>0</v>
      </c>
      <c r="DJ32" s="73">
        <f t="shared" si="35"/>
        <v>49789.24</v>
      </c>
      <c r="DK32" s="73">
        <f t="shared" si="36"/>
        <v>0</v>
      </c>
      <c r="DL32" s="73">
        <f t="shared" si="37"/>
        <v>0</v>
      </c>
      <c r="DM32" s="73">
        <f t="shared" si="38"/>
        <v>0</v>
      </c>
      <c r="DN32" s="73">
        <f t="shared" si="39"/>
        <v>0</v>
      </c>
      <c r="DO32" s="73">
        <f t="shared" si="40"/>
        <v>0</v>
      </c>
      <c r="DP32" s="73"/>
      <c r="DQ32" s="73"/>
    </row>
    <row r="33" spans="1:121" ht="10.199999999999999" x14ac:dyDescent="0.2">
      <c r="A33" s="4" t="s">
        <v>521</v>
      </c>
      <c r="B33" s="72">
        <v>1003</v>
      </c>
      <c r="C33" s="13" t="s">
        <v>47</v>
      </c>
      <c r="D33" s="4">
        <v>2027</v>
      </c>
      <c r="E33" s="4" t="s">
        <v>364</v>
      </c>
      <c r="F33" s="4">
        <v>2</v>
      </c>
      <c r="G33" s="4" t="s">
        <v>661</v>
      </c>
      <c r="H33" s="4">
        <v>0</v>
      </c>
      <c r="I33" s="4" t="s">
        <v>1091</v>
      </c>
      <c r="J33" s="5">
        <v>732131.4</v>
      </c>
      <c r="K33" s="5">
        <v>75.900000000000006</v>
      </c>
      <c r="L33" s="5">
        <v>23.92</v>
      </c>
      <c r="M33" s="5">
        <v>0</v>
      </c>
      <c r="N33" s="5">
        <v>7905001</v>
      </c>
      <c r="O33" s="5">
        <v>0</v>
      </c>
      <c r="P33" s="5">
        <v>76.070000000000007</v>
      </c>
      <c r="Q33" s="5">
        <v>0</v>
      </c>
      <c r="R33" s="5">
        <v>0</v>
      </c>
      <c r="S33" s="5">
        <v>0</v>
      </c>
      <c r="T33" s="5">
        <v>0</v>
      </c>
      <c r="U33" s="5">
        <v>0</v>
      </c>
      <c r="V33" s="5">
        <v>6390.15</v>
      </c>
      <c r="W33" s="5">
        <v>481.59</v>
      </c>
      <c r="X33" s="5">
        <v>3263.94</v>
      </c>
      <c r="Y33" s="5">
        <v>0.04</v>
      </c>
      <c r="Z33" s="5">
        <v>8</v>
      </c>
      <c r="AA33" s="5">
        <v>68</v>
      </c>
      <c r="AB33" s="5">
        <v>0</v>
      </c>
      <c r="AC33" s="5">
        <v>0</v>
      </c>
      <c r="AD33" s="5">
        <v>0</v>
      </c>
      <c r="AE33" s="5">
        <v>0</v>
      </c>
      <c r="AF33" s="5">
        <v>0</v>
      </c>
      <c r="AG33" s="5">
        <v>0</v>
      </c>
      <c r="AH33" s="5">
        <v>0.129</v>
      </c>
      <c r="AI33" s="5">
        <v>0</v>
      </c>
      <c r="AJ33" s="5">
        <v>0</v>
      </c>
      <c r="AK33" s="5">
        <v>0</v>
      </c>
      <c r="AL33" s="5">
        <v>74.710000000000008</v>
      </c>
      <c r="AM33" s="5">
        <v>0</v>
      </c>
      <c r="AN33" s="5">
        <v>76</v>
      </c>
      <c r="AO33" s="5">
        <f t="shared" si="41"/>
        <v>0</v>
      </c>
      <c r="AP33" s="5">
        <f t="shared" si="49"/>
        <v>0</v>
      </c>
      <c r="AQ33" s="5">
        <v>3.13</v>
      </c>
      <c r="AR33" s="5">
        <v>0</v>
      </c>
      <c r="AS33" s="5">
        <v>0</v>
      </c>
      <c r="AT33" s="5">
        <v>0</v>
      </c>
      <c r="AU33" s="5">
        <v>0</v>
      </c>
      <c r="AV33" s="5">
        <v>0</v>
      </c>
      <c r="AW33" s="199">
        <v>23.92</v>
      </c>
      <c r="AX33" s="199">
        <v>1</v>
      </c>
      <c r="AY33" s="199">
        <v>0</v>
      </c>
      <c r="AZ33" s="199">
        <v>0</v>
      </c>
      <c r="BA33" s="5">
        <v>0</v>
      </c>
      <c r="BB33" s="13">
        <v>430602.84</v>
      </c>
      <c r="BC33" s="101">
        <f>MAX(ROUND(IF(F33&lt;4,IF(H33=0,(SUM(Y33:AD33)*Worksheet!$E$26+Y33*Worksheet!$E$27+AR33*Worksheet!$E$39)*-BaseRate,0)),2),MIN(0,-DI33))</f>
        <v>-77921.56</v>
      </c>
      <c r="BD33" s="101">
        <f>MAX(ROUND(IF(F33=4,0,IF(I33=0,0,ROUND(SUM(Y33:AD33)*Worksheet!$E$28,2)*-BaseRate)),2),MIN(0,-DI33-BC33))</f>
        <v>-1744.95</v>
      </c>
      <c r="BE33" s="130">
        <f t="shared" si="23"/>
        <v>2502</v>
      </c>
      <c r="BF33" s="130">
        <f t="shared" si="24"/>
        <v>1403</v>
      </c>
      <c r="BG33" s="73"/>
      <c r="BH33" s="118">
        <f t="shared" si="25"/>
        <v>57835.83</v>
      </c>
      <c r="BI33" s="118">
        <f t="shared" si="26"/>
        <v>9646</v>
      </c>
      <c r="BJ33" s="232">
        <f>IFERROR(ROUND(IF(AND(BB33*1.12&lt;N33*60/1000,N33/CL33&lt;STVPP*0.2),(CL33*STVPP*0.2*Worksheet!$F$88/1000-BB33*1.12)*PropTaxAdj,IF(BB33*1.12&lt;N33*60/1000,(N33*60/1000-BB33*1.12)*PropTaxAdj,0)),2),0)</f>
        <v>0</v>
      </c>
      <c r="BK33" s="116">
        <f>ROUND(IF($F33=4,0,Y33*Worksheet!$E$16),2)</f>
        <v>0.04</v>
      </c>
      <c r="BL33" s="116">
        <f>ROUND(IF($F33=4,0,Z33*Worksheet!$E$17),2)</f>
        <v>8</v>
      </c>
      <c r="BM33" s="116">
        <f>ROUND(IF($F33=4,0,AA33*Worksheet!$E$18),2)</f>
        <v>68</v>
      </c>
      <c r="BN33" s="116">
        <f>ROUND(IF($F33=4,0,AB33*Worksheet!$E$19),2)</f>
        <v>0</v>
      </c>
      <c r="BO33" s="116">
        <f>ROUND(IF($F33=4,0,AC33*Worksheet!$E$20),2)</f>
        <v>0</v>
      </c>
      <c r="BP33" s="116">
        <f>ROUND(AD33*Worksheet!$E$21,2)</f>
        <v>0</v>
      </c>
      <c r="BQ33" s="116">
        <f t="shared" si="27"/>
        <v>76.039999999999992</v>
      </c>
      <c r="BR33" s="116">
        <f>ROUND(AD33*Worksheet!$E$25,2)</f>
        <v>0</v>
      </c>
      <c r="BS33" s="116">
        <f>ROUND(SUM(BQ33)*Worksheet!$E$26,2)</f>
        <v>6.69</v>
      </c>
      <c r="BT33" s="116">
        <f>ROUND(Y33*Worksheet!$E$27,2)</f>
        <v>0.01</v>
      </c>
      <c r="BU33" s="116">
        <f>ROUND(AO33*Worksheet!$E$29,2)</f>
        <v>0</v>
      </c>
      <c r="BV33" s="116">
        <f>ROUND(AP33*Worksheet!$E$30,2)</f>
        <v>0</v>
      </c>
      <c r="BW33" s="116">
        <f>ROUND(IF($I33&lt;&gt;0,$BQ33*Worksheet!$E$28,0),2)</f>
        <v>0.15</v>
      </c>
      <c r="BX33" s="116">
        <f>ROUND(AE33*Worksheet!$E$31,2)</f>
        <v>0</v>
      </c>
      <c r="BY33" s="116">
        <f>ROUND(AF33*Worksheet!$E$32,2)</f>
        <v>0</v>
      </c>
      <c r="BZ33" s="116">
        <f>ROUND(AG33*Worksheet!$E$33,2)</f>
        <v>0</v>
      </c>
      <c r="CA33" s="116">
        <f>ROUND(ROUND(AH33*BQ33,2)*Worksheet!$E$34,2)</f>
        <v>0.25</v>
      </c>
      <c r="CB33" s="116">
        <f>ROUND(AI33*Worksheet!$E$35,2)</f>
        <v>0</v>
      </c>
      <c r="CC33" s="116">
        <f>ROUND(AJ33*Worksheet!$E$36,2)</f>
        <v>0</v>
      </c>
      <c r="CD33" s="116">
        <f>ROUND(AQ33*Worksheet!$E$38,2)</f>
        <v>1.88</v>
      </c>
      <c r="CE33" s="116">
        <f>ROUND(AR33*Worksheet!$E$39,2)</f>
        <v>0</v>
      </c>
      <c r="CF33" s="116">
        <f>IF(AND(L33&gt;275,SUM(Y33:AD33)&lt;100),ROUND(SUM(Y33:AD33)*Worksheet!$E$41,2),0)</f>
        <v>0</v>
      </c>
      <c r="CG33" s="116">
        <f>IF(AND(L33&gt;600,SUM(Y33:AD33)&lt;50),ROUND((50-SUM(Y33:AD33))*(Worksheet!$E$41+1),2),0)</f>
        <v>0</v>
      </c>
      <c r="CH33" s="116">
        <f t="shared" si="28"/>
        <v>85.02</v>
      </c>
      <c r="CI33" s="116">
        <f t="shared" si="43"/>
        <v>0</v>
      </c>
      <c r="CJ33" s="116">
        <f t="shared" si="44"/>
        <v>85.02</v>
      </c>
      <c r="CK33" s="95">
        <f t="shared" si="29"/>
        <v>1.6075999999999999</v>
      </c>
      <c r="CL33" s="116">
        <f t="shared" si="45"/>
        <v>136.68</v>
      </c>
      <c r="CM33" s="116">
        <f t="shared" si="46"/>
        <v>136.68</v>
      </c>
      <c r="CN33" s="116">
        <f t="shared" si="30"/>
        <v>1589998.44</v>
      </c>
      <c r="CO33" s="131">
        <f>ROUND(IF(F33=4,0,(MAX(ROUND(MAX((BI33*MIN(CL33,K33)*Worksheet!$D$126)+MAX(CL33-K33,0)*Worksheet!$F$50,SUM(J33)),2),SUM(CN33))-SUM(CN33))*MinAdj),2)</f>
        <v>0</v>
      </c>
      <c r="CP33" s="116">
        <f t="shared" si="31"/>
        <v>1589998.44</v>
      </c>
      <c r="CQ33" s="131">
        <f>IF(CL33=0,0,-MIN(CP33,MIN(CP33,ROUND(IF(ROUND(IF(CL33=0,0,N33/CL33),2)&lt;STVPP*0.2,STVPP*0.2*CL33*Worksheet!$F$88/1000,N33*Worksheet!$F$88/1000),2))))</f>
        <v>-474300.06</v>
      </c>
      <c r="CR33" s="131">
        <f>-MIN(SUM(CP33,CQ33),IF($P33=0,(ROUND(Worksheet!$E$77*S33,2)+ROUND(Worksheet!$E$78*T33,2)+ROUND(Worksheet!$E$79*U33,2)+ROUND(Worksheet!$E$80*V33,2)+ROUND(Worksheet!$E$81*W33,2)+ROUND(Worksheet!$E$82*X33,2)),(ROUND(ROUND(S33*ROUND((1-$O33/$P33),4),2)*Worksheet!$E$77,2)+ROUND(ROUND(T33*ROUND((1-$O33/$P33),4),2)*Worksheet!$E$78,2)+ROUND(ROUND(U33*ROUND((1-$O33/$P33),4),2)*Worksheet!$E$79,2)+ROUND(ROUND(V33*ROUND((1-$O33/$P33),4),2)*Worksheet!$E$80,2)+ROUND(ROUND(W33*ROUND((1-$O33/$P33),4),2)*Worksheet!$E$81,2)+ROUND(ROUND(X33*ROUND((1-$O33/$P33),4),2)*Worksheet!$E$82,2))))</f>
        <v>-7601.7599999999993</v>
      </c>
      <c r="CS33" s="116">
        <f t="shared" si="32"/>
        <v>1108096.6199999999</v>
      </c>
      <c r="CT33" s="116">
        <f>ROUND(MIN(BA33,ROUND((ROUND(AS33*Worksheet!$E$104,2)+ROUND(AV33*Worksheet!$E$107,2)+ROUND(AT33*Worksheet!$E$105,2)+ROUND(AW33*Worksheet!$E$108,2)+ROUND(AU33*Worksheet!$E$106,2)+ROUND(AX33*Worksheet!$E$109,2)+ROUND(AY33*Worksheet!$E$110,2)+ROUND(AZ33*Worksheet!$E$111,2))*Worksheet!$D$114,2))*BaseRate,2)</f>
        <v>0</v>
      </c>
      <c r="CU33" s="121">
        <v>0</v>
      </c>
      <c r="CV33" s="121">
        <v>0</v>
      </c>
      <c r="CW33" s="121">
        <v>0</v>
      </c>
      <c r="CX33" s="121">
        <v>0</v>
      </c>
      <c r="CY33" s="121">
        <v>0</v>
      </c>
      <c r="DA33" s="116">
        <f t="shared" si="33"/>
        <v>0</v>
      </c>
      <c r="DB33" s="116">
        <f>MAX(-CT33,MIN(0,ROUND($R33*EFBPercent+EFBAdd,2)-$Q33),MIN(0,SUM($CS33:CS33)+MIN(0,ROUND($R33*EFBPercent+EFBAdd,2)-$Q33)))</f>
        <v>0</v>
      </c>
      <c r="DC33" s="192">
        <f>IF(CU33&lt;0,0,MAX(-CU33,MIN(0,ROUND($R33*EFBPercent+EFBAdd,2)-$Q33),MIN(0,SUM($CS33:CT33)+MIN(0,ROUND($R33*EFBPercent+EFBAdd,2)-$Q33))))</f>
        <v>0</v>
      </c>
      <c r="DD33" s="192">
        <f>IF(CV33&lt;0,0,MAX(-CV33,MIN(0,ROUND($R33*EFBPercent+EFBAdd,2)-$Q33),MIN(0,SUM($CS33:CU33)+MIN(0,ROUND($R33*EFBPercent+EFBAdd,2)-$Q33))))</f>
        <v>0</v>
      </c>
      <c r="DE33" s="192">
        <f>IF(CW33&lt;0,0,MAX(-CW33,MIN(0,ROUND($R33*EFBPercent+EFBAdd,2)-$Q33),MIN(0,SUM($CS33:CV33)+MIN(0,ROUND($R33*EFBPercent+EFBAdd,2)-$Q33))))</f>
        <v>0</v>
      </c>
      <c r="DF33" s="192">
        <f>IF(CX33&lt;0,0,MAX(-CX33,MIN(0,ROUND($R33*EFBPercent+EFBAdd,2)-$Q33),MIN(0,SUM($CS33:CW33)+MIN(0,ROUND($R33*EFBPercent+EFBAdd,2)-$Q33))))</f>
        <v>0</v>
      </c>
      <c r="DG33" s="116">
        <f>MAX(-CY33,MIN(0,ROUND($R33*EFBPercent+EFBAdd,2)-$Q33),MIN(0,SUM($CS33:CX33)+MIN(0,ROUND($R33*EFBPercent+EFBAdd,2)-$Q33)))</f>
        <v>0</v>
      </c>
      <c r="DI33" s="73">
        <f t="shared" si="34"/>
        <v>1108096.6199999999</v>
      </c>
      <c r="DJ33" s="73">
        <f t="shared" si="35"/>
        <v>0</v>
      </c>
      <c r="DK33" s="73">
        <f t="shared" si="36"/>
        <v>0</v>
      </c>
      <c r="DL33" s="73">
        <f t="shared" si="37"/>
        <v>0</v>
      </c>
      <c r="DM33" s="73">
        <f t="shared" si="38"/>
        <v>0</v>
      </c>
      <c r="DN33" s="73">
        <f t="shared" si="39"/>
        <v>0</v>
      </c>
      <c r="DO33" s="73">
        <f t="shared" si="40"/>
        <v>0</v>
      </c>
      <c r="DP33" s="73"/>
      <c r="DQ33" s="73"/>
    </row>
    <row r="34" spans="1:121" ht="10.199999999999999" x14ac:dyDescent="0.2">
      <c r="A34" s="4" t="s">
        <v>522</v>
      </c>
      <c r="B34" s="188">
        <v>1091</v>
      </c>
      <c r="C34" s="189" t="s">
        <v>48</v>
      </c>
      <c r="D34" s="4">
        <v>2027</v>
      </c>
      <c r="E34" s="4" t="s">
        <v>365</v>
      </c>
      <c r="F34" s="4">
        <v>3</v>
      </c>
      <c r="G34" s="4" t="s">
        <v>661</v>
      </c>
      <c r="H34" s="4">
        <v>0</v>
      </c>
      <c r="I34" s="4" t="s">
        <v>1091</v>
      </c>
      <c r="J34" s="5">
        <v>180187.28999999998</v>
      </c>
      <c r="K34" s="5">
        <v>18.68</v>
      </c>
      <c r="L34" s="5">
        <v>27.5</v>
      </c>
      <c r="M34" s="5">
        <v>0</v>
      </c>
      <c r="N34" s="5">
        <v>599358</v>
      </c>
      <c r="O34" s="5">
        <v>0</v>
      </c>
      <c r="P34" s="5">
        <v>84.63000000000001</v>
      </c>
      <c r="Q34" s="5">
        <v>0</v>
      </c>
      <c r="R34" s="5">
        <v>0</v>
      </c>
      <c r="S34" s="5">
        <v>0</v>
      </c>
      <c r="T34" s="5">
        <v>0</v>
      </c>
      <c r="U34" s="5">
        <v>0</v>
      </c>
      <c r="V34" s="5">
        <v>1194.03</v>
      </c>
      <c r="W34" s="5">
        <v>7650.64</v>
      </c>
      <c r="X34" s="5">
        <v>970.63</v>
      </c>
      <c r="Y34" s="5">
        <v>0</v>
      </c>
      <c r="Z34" s="5">
        <v>0</v>
      </c>
      <c r="AA34" s="5">
        <v>7</v>
      </c>
      <c r="AB34" s="5">
        <v>3</v>
      </c>
      <c r="AC34" s="5">
        <v>0</v>
      </c>
      <c r="AD34" s="5">
        <v>0</v>
      </c>
      <c r="AE34" s="5">
        <v>0</v>
      </c>
      <c r="AF34" s="5">
        <v>0</v>
      </c>
      <c r="AG34" s="5">
        <v>0</v>
      </c>
      <c r="AH34" s="5">
        <v>0</v>
      </c>
      <c r="AI34" s="5">
        <v>0</v>
      </c>
      <c r="AJ34" s="5">
        <v>0</v>
      </c>
      <c r="AK34" s="5">
        <v>0</v>
      </c>
      <c r="AL34" s="5">
        <v>9.879999999999999</v>
      </c>
      <c r="AM34" s="5">
        <v>0</v>
      </c>
      <c r="AN34" s="5">
        <v>10</v>
      </c>
      <c r="AO34" s="5">
        <f t="shared" si="41"/>
        <v>0</v>
      </c>
      <c r="AP34" s="5">
        <f t="shared" si="49"/>
        <v>0</v>
      </c>
      <c r="AQ34" s="5">
        <v>0</v>
      </c>
      <c r="AR34" s="5">
        <v>0</v>
      </c>
      <c r="AS34" s="5">
        <v>0</v>
      </c>
      <c r="AT34" s="5">
        <v>0</v>
      </c>
      <c r="AU34" s="5">
        <v>0</v>
      </c>
      <c r="AV34" s="5">
        <v>0</v>
      </c>
      <c r="AW34" s="199">
        <v>27.5</v>
      </c>
      <c r="AX34" s="199">
        <v>1</v>
      </c>
      <c r="AY34" s="199">
        <v>0</v>
      </c>
      <c r="AZ34" s="199">
        <v>0</v>
      </c>
      <c r="BA34" s="5">
        <v>0</v>
      </c>
      <c r="BB34" s="13">
        <v>33454.26</v>
      </c>
      <c r="BC34" s="101">
        <f>MAX(ROUND(IF(F34&lt;4,IF(H34=0,(SUM(Y34:AD34)*Worksheet!$E$26+Y34*Worksheet!$E$27+AR34*Worksheet!$E$39)*-BaseRate,0)),2),MIN(0,-DI34))</f>
        <v>-10237.040000000001</v>
      </c>
      <c r="BD34" s="101">
        <f>MAX(ROUND(IF(F34=4,0,IF(I34=0,0,ROUND(SUM(Y34:AD34)*Worksheet!$E$28,2)*-BaseRate)),2),MIN(0,-DI34-BC34))</f>
        <v>-232.66</v>
      </c>
      <c r="BE34" s="130">
        <f t="shared" si="23"/>
        <v>2502</v>
      </c>
      <c r="BF34" s="130">
        <f t="shared" si="24"/>
        <v>1403</v>
      </c>
      <c r="BG34" s="73"/>
      <c r="BH34" s="118">
        <f t="shared" si="25"/>
        <v>32931.760000000002</v>
      </c>
      <c r="BI34" s="118">
        <f t="shared" si="26"/>
        <v>9646</v>
      </c>
      <c r="BJ34" s="232">
        <f>IFERROR(ROUND(IF(AND(BB34*1.12&lt;N34*60/1000,N34/CL34&lt;STVPP*0.2),(CL34*STVPP*0.2*Worksheet!$F$88/1000-BB34*1.12)*PropTaxAdj,IF(BB34*1.12&lt;N34*60/1000,(N34*60/1000-BB34*1.12)*PropTaxAdj,0)),2),0)</f>
        <v>0</v>
      </c>
      <c r="BK34" s="116">
        <f>ROUND(IF($F34=4,0,Y34*Worksheet!$E$16),2)</f>
        <v>0</v>
      </c>
      <c r="BL34" s="116">
        <f>ROUND(IF($F34=4,0,Z34*Worksheet!$E$17),2)</f>
        <v>0</v>
      </c>
      <c r="BM34" s="116">
        <f>ROUND(IF($F34=4,0,AA34*Worksheet!$E$18),2)</f>
        <v>7</v>
      </c>
      <c r="BN34" s="116">
        <f>ROUND(IF($F34=4,0,AB34*Worksheet!$E$19),2)</f>
        <v>3</v>
      </c>
      <c r="BO34" s="116">
        <f>ROUND(IF($F34=4,0,AC34*Worksheet!$E$20),2)</f>
        <v>0</v>
      </c>
      <c r="BP34" s="116">
        <f>ROUND(AD34*Worksheet!$E$21,2)</f>
        <v>0</v>
      </c>
      <c r="BQ34" s="116">
        <f t="shared" si="27"/>
        <v>10</v>
      </c>
      <c r="BR34" s="116">
        <f>ROUND(AD34*Worksheet!$E$25,2)</f>
        <v>0</v>
      </c>
      <c r="BS34" s="116">
        <f>ROUND(SUM(BQ34)*Worksheet!$E$26,2)</f>
        <v>0.88</v>
      </c>
      <c r="BT34" s="116">
        <f>ROUND(Y34*Worksheet!$E$27,2)</f>
        <v>0</v>
      </c>
      <c r="BU34" s="116">
        <f>ROUND(AO34*Worksheet!$E$29,2)</f>
        <v>0</v>
      </c>
      <c r="BV34" s="116">
        <f>ROUND(AP34*Worksheet!$E$30,2)</f>
        <v>0</v>
      </c>
      <c r="BW34" s="116">
        <f>ROUND(IF($I34&lt;&gt;0,$BQ34*Worksheet!$E$28,0),2)</f>
        <v>0.02</v>
      </c>
      <c r="BX34" s="116">
        <f>ROUND(AE34*Worksheet!$E$31,2)</f>
        <v>0</v>
      </c>
      <c r="BY34" s="116">
        <f>ROUND(AF34*Worksheet!$E$32,2)</f>
        <v>0</v>
      </c>
      <c r="BZ34" s="116">
        <f>ROUND(AG34*Worksheet!$E$33,2)</f>
        <v>0</v>
      </c>
      <c r="CA34" s="116">
        <f>ROUND(ROUND(AH34*BQ34,2)*Worksheet!$E$34,2)</f>
        <v>0</v>
      </c>
      <c r="CB34" s="116">
        <f>ROUND(AI34*Worksheet!$E$35,2)</f>
        <v>0</v>
      </c>
      <c r="CC34" s="116">
        <f>ROUND(AJ34*Worksheet!$E$36,2)</f>
        <v>0</v>
      </c>
      <c r="CD34" s="116">
        <f>ROUND(AQ34*Worksheet!$E$38,2)</f>
        <v>0</v>
      </c>
      <c r="CE34" s="116">
        <f>ROUND(AR34*Worksheet!$E$39,2)</f>
        <v>0</v>
      </c>
      <c r="CF34" s="116">
        <f>IF(AND(L34&gt;275,SUM(Y34:AD34)&lt;100),ROUND(SUM(Y34:AD34)*Worksheet!$E$41,2),0)</f>
        <v>0</v>
      </c>
      <c r="CG34" s="116">
        <f>IF(AND(L34&gt;600,SUM(Y34:AD34)&lt;50),ROUND((50-SUM(Y34:AD34))*(Worksheet!$E$41+1),2),0)</f>
        <v>0</v>
      </c>
      <c r="CH34" s="116">
        <f t="shared" si="28"/>
        <v>10.9</v>
      </c>
      <c r="CI34" s="116">
        <f t="shared" si="43"/>
        <v>0</v>
      </c>
      <c r="CJ34" s="116">
        <f t="shared" si="44"/>
        <v>10.9</v>
      </c>
      <c r="CK34" s="95">
        <f t="shared" si="29"/>
        <v>1.67</v>
      </c>
      <c r="CL34" s="116">
        <f t="shared" si="45"/>
        <v>18.2</v>
      </c>
      <c r="CM34" s="116">
        <f t="shared" si="46"/>
        <v>18.2</v>
      </c>
      <c r="CN34" s="116">
        <f t="shared" si="30"/>
        <v>211720.6</v>
      </c>
      <c r="CO34" s="131">
        <f>ROUND(IF(F34=4,0,(MAX(ROUND(MAX((BI34*MIN(CL34,K34)*Worksheet!$D$126)+MAX(CL34-K34,0)*Worksheet!$F$50,SUM(J34)),2),SUM(CN34))-SUM(CN34))*MinAdj),2)</f>
        <v>0</v>
      </c>
      <c r="CP34" s="116">
        <f t="shared" si="31"/>
        <v>211720.6</v>
      </c>
      <c r="CQ34" s="131">
        <f>IF(CL34=0,0,-MIN(CP34,MIN(CP34,ROUND(IF(ROUND(IF(CL34=0,0,N34/CL34),2)&lt;STVPP*0.2,STVPP*0.2*CL34*Worksheet!$F$88/1000,N34*Worksheet!$F$88/1000),2))))</f>
        <v>-35961.480000000003</v>
      </c>
      <c r="CR34" s="131">
        <f>-MIN(SUM(CP34,CQ34),IF($P34=0,(ROUND(Worksheet!$E$77*S34,2)+ROUND(Worksheet!$E$78*T34,2)+ROUND(Worksheet!$E$79*U34,2)+ROUND(Worksheet!$E$80*V34,2)+ROUND(Worksheet!$E$81*W34,2)+ROUND(Worksheet!$E$82*X34,2)),(ROUND(ROUND(S34*ROUND((1-$O34/$P34),4),2)*Worksheet!$E$77,2)+ROUND(ROUND(T34*ROUND((1-$O34/$P34),4),2)*Worksheet!$E$78,2)+ROUND(ROUND(U34*ROUND((1-$O34/$P34),4),2)*Worksheet!$E$79,2)+ROUND(ROUND(V34*ROUND((1-$O34/$P34),4),2)*Worksheet!$E$80,2)+ROUND(ROUND(W34*ROUND((1-$O34/$P34),4),2)*Worksheet!$E$81,2)+ROUND(ROUND(X34*ROUND((1-$O34/$P34),4),2)*Worksheet!$E$82,2))))</f>
        <v>-7361.47</v>
      </c>
      <c r="CS34" s="116">
        <f t="shared" si="32"/>
        <v>168397.65</v>
      </c>
      <c r="CT34" s="116">
        <f>ROUND(MIN(BA34,ROUND((ROUND(AS34*Worksheet!$E$104,2)+ROUND(AV34*Worksheet!$E$107,2)+ROUND(AT34*Worksheet!$E$105,2)+ROUND(AW34*Worksheet!$E$108,2)+ROUND(AU34*Worksheet!$E$106,2)+ROUND(AX34*Worksheet!$E$109,2)+ROUND(AY34*Worksheet!$E$110,2)+ROUND(AZ34*Worksheet!$E$111,2))*Worksheet!$D$114,2))*BaseRate,2)</f>
        <v>0</v>
      </c>
      <c r="CU34" s="121">
        <v>0</v>
      </c>
      <c r="CV34" s="121">
        <v>0</v>
      </c>
      <c r="CW34" s="121">
        <v>0</v>
      </c>
      <c r="CX34" s="121">
        <v>0</v>
      </c>
      <c r="CY34" s="121">
        <v>0</v>
      </c>
      <c r="DA34" s="116">
        <f t="shared" si="33"/>
        <v>0</v>
      </c>
      <c r="DB34" s="116">
        <f>MAX(-CT34,MIN(0,ROUND($R34*EFBPercent+EFBAdd,2)-$Q34),MIN(0,SUM($CS34:CS34)+MIN(0,ROUND($R34*EFBPercent+EFBAdd,2)-$Q34)))</f>
        <v>0</v>
      </c>
      <c r="DC34" s="192">
        <f>IF(CU34&lt;0,0,MAX(-CU34,MIN(0,ROUND($R34*EFBPercent+EFBAdd,2)-$Q34),MIN(0,SUM($CS34:CT34)+MIN(0,ROUND($R34*EFBPercent+EFBAdd,2)-$Q34))))</f>
        <v>0</v>
      </c>
      <c r="DD34" s="192">
        <f>IF(CV34&lt;0,0,MAX(-CV34,MIN(0,ROUND($R34*EFBPercent+EFBAdd,2)-$Q34),MIN(0,SUM($CS34:CU34)+MIN(0,ROUND($R34*EFBPercent+EFBAdd,2)-$Q34))))</f>
        <v>0</v>
      </c>
      <c r="DE34" s="192">
        <f>IF(CW34&lt;0,0,MAX(-CW34,MIN(0,ROUND($R34*EFBPercent+EFBAdd,2)-$Q34),MIN(0,SUM($CS34:CV34)+MIN(0,ROUND($R34*EFBPercent+EFBAdd,2)-$Q34))))</f>
        <v>0</v>
      </c>
      <c r="DF34" s="192">
        <f>IF(CX34&lt;0,0,MAX(-CX34,MIN(0,ROUND($R34*EFBPercent+EFBAdd,2)-$Q34),MIN(0,SUM($CS34:CW34)+MIN(0,ROUND($R34*EFBPercent+EFBAdd,2)-$Q34))))</f>
        <v>0</v>
      </c>
      <c r="DG34" s="116">
        <f>MAX(-CY34,MIN(0,ROUND($R34*EFBPercent+EFBAdd,2)-$Q34),MIN(0,SUM($CS34:CX34)+MIN(0,ROUND($R34*EFBPercent+EFBAdd,2)-$Q34)))</f>
        <v>0</v>
      </c>
      <c r="DI34" s="73">
        <f t="shared" si="34"/>
        <v>168397.65</v>
      </c>
      <c r="DJ34" s="73">
        <f t="shared" si="35"/>
        <v>0</v>
      </c>
      <c r="DK34" s="73">
        <f t="shared" si="36"/>
        <v>0</v>
      </c>
      <c r="DL34" s="73">
        <f t="shared" si="37"/>
        <v>0</v>
      </c>
      <c r="DM34" s="73">
        <f t="shared" si="38"/>
        <v>0</v>
      </c>
      <c r="DN34" s="73">
        <f t="shared" si="39"/>
        <v>0</v>
      </c>
      <c r="DO34" s="73">
        <f t="shared" si="40"/>
        <v>0</v>
      </c>
      <c r="DP34" s="73"/>
      <c r="DQ34" s="73"/>
    </row>
    <row r="35" spans="1:121" ht="10.199999999999999" x14ac:dyDescent="0.2">
      <c r="A35" s="4" t="s">
        <v>1091</v>
      </c>
      <c r="B35" s="188">
        <v>1403</v>
      </c>
      <c r="C35" s="189" t="s">
        <v>1102</v>
      </c>
      <c r="D35" s="4">
        <v>2027</v>
      </c>
      <c r="E35" s="4" t="s">
        <v>1092</v>
      </c>
      <c r="F35" s="4">
        <v>0</v>
      </c>
      <c r="G35" s="4" t="s">
        <v>968</v>
      </c>
      <c r="H35" s="4">
        <v>0</v>
      </c>
      <c r="I35" s="4">
        <v>0</v>
      </c>
      <c r="J35" s="5">
        <v>0</v>
      </c>
      <c r="K35" s="5">
        <v>0</v>
      </c>
      <c r="L35" s="5">
        <v>0</v>
      </c>
      <c r="M35" s="5">
        <v>0</v>
      </c>
      <c r="N35" s="5">
        <v>0</v>
      </c>
      <c r="O35" s="5">
        <v>0</v>
      </c>
      <c r="P35" s="5">
        <v>0</v>
      </c>
      <c r="Q35" s="5">
        <v>0</v>
      </c>
      <c r="R35" s="5">
        <v>0</v>
      </c>
      <c r="S35" s="5">
        <v>0</v>
      </c>
      <c r="T35" s="5">
        <v>0</v>
      </c>
      <c r="U35" s="5">
        <v>0</v>
      </c>
      <c r="V35" s="5">
        <v>0</v>
      </c>
      <c r="W35" s="5">
        <v>0</v>
      </c>
      <c r="X35" s="5">
        <v>0</v>
      </c>
      <c r="Y35" s="5">
        <v>0</v>
      </c>
      <c r="Z35" s="5">
        <v>0</v>
      </c>
      <c r="AA35" s="5">
        <v>0</v>
      </c>
      <c r="AB35" s="5">
        <v>0</v>
      </c>
      <c r="AC35" s="5">
        <v>0</v>
      </c>
      <c r="AD35" s="5">
        <v>0</v>
      </c>
      <c r="AE35" s="5">
        <v>0</v>
      </c>
      <c r="AF35" s="5">
        <v>0</v>
      </c>
      <c r="AG35" s="5">
        <v>0</v>
      </c>
      <c r="AH35" s="5">
        <v>0</v>
      </c>
      <c r="AI35" s="5">
        <v>0</v>
      </c>
      <c r="AJ35" s="5">
        <v>0</v>
      </c>
      <c r="AK35" s="5">
        <v>0</v>
      </c>
      <c r="AL35" s="5">
        <v>0</v>
      </c>
      <c r="AM35" s="5">
        <v>0</v>
      </c>
      <c r="AN35" s="5">
        <v>0</v>
      </c>
      <c r="AO35" s="5">
        <f t="shared" si="41"/>
        <v>0</v>
      </c>
      <c r="AP35" s="5">
        <v>0</v>
      </c>
      <c r="AQ35" s="5">
        <v>0</v>
      </c>
      <c r="AR35" s="5">
        <v>0</v>
      </c>
      <c r="AS35" s="5">
        <v>0</v>
      </c>
      <c r="AT35" s="5">
        <v>0</v>
      </c>
      <c r="AU35" s="5">
        <v>0</v>
      </c>
      <c r="AV35" s="5">
        <v>0</v>
      </c>
      <c r="AW35" s="199">
        <v>0</v>
      </c>
      <c r="AX35" s="199">
        <v>0</v>
      </c>
      <c r="AY35" s="199">
        <v>0</v>
      </c>
      <c r="AZ35" s="199">
        <v>0</v>
      </c>
      <c r="BA35" s="5">
        <v>0</v>
      </c>
      <c r="BB35" s="13">
        <v>0</v>
      </c>
      <c r="BC35" s="101">
        <f>MAX(ROUND(IF(F35&lt;4,IF(H35=0,(SUM(Y35:AD35)*Worksheet!$E$26+Y35*Worksheet!$E$27+AR35*Worksheet!$E$39)*-BaseRate,0)),2),MIN(0,-DI35))</f>
        <v>0</v>
      </c>
      <c r="BD35" s="101">
        <f>MAX(ROUND(IF(F35=4,0,IF(I35=0,0,ROUND(SUM(Y35:AD35)*Worksheet!$E$28,2)*-BaseRate)),2),MIN(0,-DI35-BC35))</f>
        <v>0</v>
      </c>
      <c r="BE35" s="130">
        <f t="shared" si="23"/>
        <v>0</v>
      </c>
      <c r="BF35" s="130">
        <f t="shared" si="24"/>
        <v>0</v>
      </c>
      <c r="BG35" s="73"/>
      <c r="BH35" s="118">
        <f t="shared" si="25"/>
        <v>0</v>
      </c>
      <c r="BI35" s="118">
        <f t="shared" si="26"/>
        <v>0</v>
      </c>
      <c r="BJ35" s="232">
        <f>IFERROR(ROUND(IF(AND(BB35*1.12&lt;N35*60/1000,N35/CL35&lt;STVPP*0.2),(CL35*STVPP*0.2*Worksheet!$F$88/1000-BB35*1.12)*PropTaxAdj,IF(BB35*1.12&lt;N35*60/1000,(N35*60/1000-BB35*1.12)*PropTaxAdj,0)),2),0)</f>
        <v>0</v>
      </c>
      <c r="BK35" s="116">
        <f>ROUND(IF($F35=4,0,Y35*Worksheet!$E$16),2)</f>
        <v>0</v>
      </c>
      <c r="BL35" s="116">
        <f>ROUND(IF($F35=4,0,Z35*Worksheet!$E$17),2)</f>
        <v>0</v>
      </c>
      <c r="BM35" s="116">
        <f>ROUND(IF($F35=4,0,AA35*Worksheet!$E$18),2)</f>
        <v>0</v>
      </c>
      <c r="BN35" s="116">
        <f>ROUND(IF($F35=4,0,AB35*Worksheet!$E$19),2)</f>
        <v>0</v>
      </c>
      <c r="BO35" s="116">
        <f>ROUND(IF($F35=4,0,AC35*Worksheet!$E$20),2)</f>
        <v>0</v>
      </c>
      <c r="BP35" s="116">
        <f>ROUND(AD35*Worksheet!$E$21,2)</f>
        <v>0</v>
      </c>
      <c r="BQ35" s="116">
        <f t="shared" si="27"/>
        <v>0</v>
      </c>
      <c r="BR35" s="116">
        <f>ROUND(AD35*Worksheet!$E$25,2)</f>
        <v>0</v>
      </c>
      <c r="BS35" s="116">
        <f>ROUND(SUM(BQ35)*Worksheet!$E$26,2)</f>
        <v>0</v>
      </c>
      <c r="BT35" s="116">
        <f>ROUND(Y35*Worksheet!$E$27,2)</f>
        <v>0</v>
      </c>
      <c r="BU35" s="116">
        <f>ROUND(AO35*Worksheet!$E$29,2)</f>
        <v>0</v>
      </c>
      <c r="BV35" s="116">
        <f>ROUND(AP35*Worksheet!$E$30,2)</f>
        <v>0</v>
      </c>
      <c r="BW35" s="116">
        <f>ROUND(IF($I35&lt;&gt;0,$BQ35*Worksheet!$E$28,0),2)</f>
        <v>0</v>
      </c>
      <c r="BX35" s="116">
        <f>ROUND(AE35*Worksheet!$E$31,2)</f>
        <v>0</v>
      </c>
      <c r="BY35" s="116">
        <f>ROUND(AF35*Worksheet!$E$32,2)</f>
        <v>0</v>
      </c>
      <c r="BZ35" s="116">
        <f>ROUND(AG35*Worksheet!$E$33,2)</f>
        <v>0</v>
      </c>
      <c r="CA35" s="116">
        <f>ROUND(ROUND(AH35*BQ35,2)*Worksheet!$E$34,2)</f>
        <v>0</v>
      </c>
      <c r="CB35" s="116">
        <f>ROUND(AI35*Worksheet!$E$35,2)</f>
        <v>0</v>
      </c>
      <c r="CC35" s="116">
        <f>ROUND(AJ35*Worksheet!$E$36,2)</f>
        <v>0</v>
      </c>
      <c r="CD35" s="116">
        <f>ROUND(AQ35*Worksheet!$E$38,2)</f>
        <v>0</v>
      </c>
      <c r="CE35" s="116">
        <f>ROUND(AR35*Worksheet!$E$39,2)</f>
        <v>0</v>
      </c>
      <c r="CF35" s="116">
        <f>IF(AND(L35&gt;275,SUM(Y35:AD35)&lt;100),ROUND(SUM(Y35:AD35)*Worksheet!$E$41,2),0)</f>
        <v>0</v>
      </c>
      <c r="CG35" s="116">
        <f>IF(AND(L35&gt;600,SUM(Y35:AD35)&lt;50),ROUND((50-SUM(Y35:AD35))*(Worksheet!$E$41+1),2),0)</f>
        <v>0</v>
      </c>
      <c r="CH35" s="116">
        <f t="shared" si="28"/>
        <v>0</v>
      </c>
      <c r="CI35" s="116">
        <f t="shared" si="43"/>
        <v>0</v>
      </c>
      <c r="CJ35" s="116">
        <f t="shared" si="44"/>
        <v>0</v>
      </c>
      <c r="CK35" s="95">
        <f t="shared" si="29"/>
        <v>0</v>
      </c>
      <c r="CL35" s="116">
        <f t="shared" si="45"/>
        <v>0</v>
      </c>
      <c r="CM35" s="116">
        <f t="shared" si="46"/>
        <v>0</v>
      </c>
      <c r="CN35" s="116">
        <f t="shared" si="30"/>
        <v>0</v>
      </c>
      <c r="CO35" s="131">
        <f>ROUND(IF(F35=4,0,(MAX(ROUND(MAX((BI35*MIN(CL35,K35)*Worksheet!$D$126)+MAX(CL35-K35,0)*Worksheet!$F$50,SUM(J35)),2),SUM(CN35))-SUM(CN35))*MinAdj),2)</f>
        <v>0</v>
      </c>
      <c r="CP35" s="116">
        <f t="shared" si="31"/>
        <v>0</v>
      </c>
      <c r="CQ35" s="131">
        <f>IF(CL35=0,0,-MIN(CP35,MIN(CP35,ROUND(IF(ROUND(IF(CL35=0,0,N35/CL35),2)&lt;STVPP*0.2,STVPP*0.2*CL35*Worksheet!$F$88/1000,N35*Worksheet!$F$88/1000),2))))</f>
        <v>0</v>
      </c>
      <c r="CR35" s="131">
        <f>-MIN(SUM(CP35,CQ35),IF($P35=0,(ROUND(Worksheet!$E$77*S35,2)+ROUND(Worksheet!$E$78*T35,2)+ROUND(Worksheet!$E$79*U35,2)+ROUND(Worksheet!$E$80*V35,2)+ROUND(Worksheet!$E$81*W35,2)+ROUND(Worksheet!$E$82*X35,2)),(ROUND(ROUND(S35*ROUND((1-$O35/$P35),4),2)*Worksheet!$E$77,2)+ROUND(ROUND(T35*ROUND((1-$O35/$P35),4),2)*Worksheet!$E$78,2)+ROUND(ROUND(U35*ROUND((1-$O35/$P35),4),2)*Worksheet!$E$79,2)+ROUND(ROUND(V35*ROUND((1-$O35/$P35),4),2)*Worksheet!$E$80,2)+ROUND(ROUND(W35*ROUND((1-$O35/$P35),4),2)*Worksheet!$E$81,2)+ROUND(ROUND(X35*ROUND((1-$O35/$P35),4),2)*Worksheet!$E$82,2))))</f>
        <v>0</v>
      </c>
      <c r="CS35" s="116">
        <f t="shared" si="32"/>
        <v>0</v>
      </c>
      <c r="CT35" s="116">
        <f>ROUND(MIN(BA35,ROUND((ROUND(AS35*Worksheet!$E$104,2)+ROUND(AV35*Worksheet!$E$107,2)+ROUND(AT35*Worksheet!$E$105,2)+ROUND(AW35*Worksheet!$E$108,2)+ROUND(AU35*Worksheet!$E$106,2)+ROUND(AX35*Worksheet!$E$109,2)+ROUND(AY35*Worksheet!$E$110,2)+ROUND(AZ35*Worksheet!$E$111,2))*Worksheet!$D$114,2))*BaseRate,2)</f>
        <v>0</v>
      </c>
      <c r="CU35" s="121">
        <v>0</v>
      </c>
      <c r="CV35" s="121">
        <v>0</v>
      </c>
      <c r="CW35" s="121">
        <v>0</v>
      </c>
      <c r="CX35" s="121">
        <v>0</v>
      </c>
      <c r="CY35" s="121">
        <v>0</v>
      </c>
      <c r="DA35" s="116">
        <f t="shared" si="33"/>
        <v>0</v>
      </c>
      <c r="DB35" s="116">
        <f>MAX(-CT35,MIN(0,ROUND($R35*EFBPercent+EFBAdd,2)-$Q35),MIN(0,SUM($CS35:CS35)+MIN(0,ROUND($R35*EFBPercent+EFBAdd,2)-$Q35)))</f>
        <v>0</v>
      </c>
      <c r="DC35" s="192">
        <f>IF(CU35&lt;0,0,MAX(-CU35,MIN(0,ROUND($R35*EFBPercent+EFBAdd,2)-$Q35),MIN(0,SUM($CS35:CT35)+MIN(0,ROUND($R35*EFBPercent+EFBAdd,2)-$Q35))))</f>
        <v>0</v>
      </c>
      <c r="DD35" s="192">
        <f>IF(CV35&lt;0,0,MAX(-CV35,MIN(0,ROUND($R35*EFBPercent+EFBAdd,2)-$Q35),MIN(0,SUM($CS35:CU35)+MIN(0,ROUND($R35*EFBPercent+EFBAdd,2)-$Q35))))</f>
        <v>0</v>
      </c>
      <c r="DE35" s="192">
        <f>IF(CW35&lt;0,0,MAX(-CW35,MIN(0,ROUND($R35*EFBPercent+EFBAdd,2)-$Q35),MIN(0,SUM($CS35:CV35)+MIN(0,ROUND($R35*EFBPercent+EFBAdd,2)-$Q35))))</f>
        <v>0</v>
      </c>
      <c r="DF35" s="192">
        <f>IF(CX35&lt;0,0,MAX(-CX35,MIN(0,ROUND($R35*EFBPercent+EFBAdd,2)-$Q35),MIN(0,SUM($CS35:CW35)+MIN(0,ROUND($R35*EFBPercent+EFBAdd,2)-$Q35))))</f>
        <v>0</v>
      </c>
      <c r="DG35" s="116">
        <f>MAX(-CY35,MIN(0,ROUND($R35*EFBPercent+EFBAdd,2)-$Q35),MIN(0,SUM($CS35:CX35)+MIN(0,ROUND($R35*EFBPercent+EFBAdd,2)-$Q35)))</f>
        <v>0</v>
      </c>
      <c r="DI35" s="73">
        <f t="shared" si="34"/>
        <v>0</v>
      </c>
      <c r="DJ35" s="73">
        <f t="shared" si="35"/>
        <v>0</v>
      </c>
      <c r="DK35" s="73">
        <f t="shared" si="36"/>
        <v>0</v>
      </c>
      <c r="DL35" s="73">
        <f t="shared" si="37"/>
        <v>0</v>
      </c>
      <c r="DM35" s="73">
        <f t="shared" si="38"/>
        <v>0</v>
      </c>
      <c r="DN35" s="73">
        <f t="shared" si="39"/>
        <v>0</v>
      </c>
      <c r="DO35" s="73">
        <f t="shared" si="40"/>
        <v>0</v>
      </c>
      <c r="DP35" s="73"/>
      <c r="DQ35" s="73"/>
    </row>
    <row r="36" spans="1:121" ht="10.199999999999999" x14ac:dyDescent="0.2">
      <c r="A36" s="4" t="s">
        <v>661</v>
      </c>
      <c r="B36" s="188">
        <v>2502</v>
      </c>
      <c r="C36" s="189" t="s">
        <v>181</v>
      </c>
      <c r="D36" s="4">
        <v>2027</v>
      </c>
      <c r="E36" s="4" t="s">
        <v>1030</v>
      </c>
      <c r="F36" s="4">
        <v>7</v>
      </c>
      <c r="G36" s="4" t="s">
        <v>661</v>
      </c>
      <c r="H36" s="4">
        <v>100</v>
      </c>
      <c r="I36" s="4">
        <v>0</v>
      </c>
      <c r="J36" s="5">
        <v>0</v>
      </c>
      <c r="K36" s="5">
        <v>0</v>
      </c>
      <c r="L36" s="5">
        <v>0</v>
      </c>
      <c r="M36" s="5">
        <v>0</v>
      </c>
      <c r="N36" s="5">
        <v>0</v>
      </c>
      <c r="O36" s="5">
        <v>0</v>
      </c>
      <c r="P36" s="5">
        <v>0</v>
      </c>
      <c r="Q36" s="5">
        <v>0</v>
      </c>
      <c r="R36" s="5">
        <v>0</v>
      </c>
      <c r="S36" s="5">
        <v>0</v>
      </c>
      <c r="T36" s="5">
        <v>0</v>
      </c>
      <c r="U36" s="5">
        <v>0</v>
      </c>
      <c r="V36" s="5">
        <v>0</v>
      </c>
      <c r="W36" s="5">
        <v>0</v>
      </c>
      <c r="X36" s="5">
        <v>0</v>
      </c>
      <c r="Y36" s="5">
        <v>0</v>
      </c>
      <c r="Z36" s="5">
        <v>0</v>
      </c>
      <c r="AA36" s="5">
        <v>0</v>
      </c>
      <c r="AB36" s="5">
        <v>0</v>
      </c>
      <c r="AC36" s="5">
        <v>0</v>
      </c>
      <c r="AD36" s="5">
        <v>0</v>
      </c>
      <c r="AE36" s="5">
        <v>0</v>
      </c>
      <c r="AF36" s="5">
        <v>0</v>
      </c>
      <c r="AG36" s="5">
        <v>0</v>
      </c>
      <c r="AH36" s="5">
        <v>0</v>
      </c>
      <c r="AI36" s="5">
        <v>0</v>
      </c>
      <c r="AJ36" s="5">
        <v>0</v>
      </c>
      <c r="AK36" s="5">
        <v>0</v>
      </c>
      <c r="AL36" s="5">
        <v>0</v>
      </c>
      <c r="AM36" s="5">
        <v>0</v>
      </c>
      <c r="AN36" s="5">
        <v>0</v>
      </c>
      <c r="AO36" s="5">
        <f t="shared" si="41"/>
        <v>0</v>
      </c>
      <c r="AP36" s="5">
        <v>0</v>
      </c>
      <c r="AQ36" s="5">
        <v>0</v>
      </c>
      <c r="AR36" s="5">
        <v>0</v>
      </c>
      <c r="AS36" s="5">
        <v>0</v>
      </c>
      <c r="AT36" s="5">
        <v>0</v>
      </c>
      <c r="AU36" s="5">
        <v>0</v>
      </c>
      <c r="AV36" s="5">
        <v>0</v>
      </c>
      <c r="AW36" s="199">
        <v>0</v>
      </c>
      <c r="AX36" s="199">
        <v>0</v>
      </c>
      <c r="AY36" s="199">
        <v>0</v>
      </c>
      <c r="AZ36" s="199">
        <v>0</v>
      </c>
      <c r="BA36" s="5">
        <v>0</v>
      </c>
      <c r="BB36" s="13">
        <v>0</v>
      </c>
      <c r="BC36" s="101">
        <f>MAX(ROUND(IF(F36&lt;4,IF(H36=0,(SUM(Y36:AD36)*Worksheet!$E$26+Y36*Worksheet!$E$27+AR36*Worksheet!$E$39)*-BaseRate,0)),2),MIN(0,-DI36))</f>
        <v>0</v>
      </c>
      <c r="BD36" s="101">
        <f>MAX(ROUND(IF(F36=4,0,IF(I36=0,0,ROUND(SUM(Y36:AD36)*Worksheet!$E$28,2)*-BaseRate)),2),MIN(0,-DI36-BC36))</f>
        <v>0</v>
      </c>
      <c r="BE36" s="130">
        <f t="shared" si="23"/>
        <v>0</v>
      </c>
      <c r="BF36" s="130">
        <f t="shared" si="24"/>
        <v>0</v>
      </c>
      <c r="BG36" s="73"/>
      <c r="BH36" s="118">
        <f t="shared" si="25"/>
        <v>0</v>
      </c>
      <c r="BI36" s="118">
        <f t="shared" si="26"/>
        <v>0</v>
      </c>
      <c r="BJ36" s="232">
        <f>IFERROR(ROUND(IF(AND(BB36*1.12&lt;N36*60/1000,N36/CL36&lt;STVPP*0.2),(CL36*STVPP*0.2*Worksheet!$F$88/1000-BB36*1.12)*PropTaxAdj,IF(BB36*1.12&lt;N36*60/1000,(N36*60/1000-BB36*1.12)*PropTaxAdj,0)),2),0)</f>
        <v>0</v>
      </c>
      <c r="BK36" s="116">
        <f>ROUND(IF($F36=4,0,Y36*Worksheet!$E$16),2)</f>
        <v>0</v>
      </c>
      <c r="BL36" s="116">
        <f>ROUND(IF($F36=4,0,Z36*Worksheet!$E$17),2)</f>
        <v>0</v>
      </c>
      <c r="BM36" s="116">
        <f>ROUND(IF($F36=4,0,AA36*Worksheet!$E$18),2)</f>
        <v>0</v>
      </c>
      <c r="BN36" s="116">
        <f>ROUND(IF($F36=4,0,AB36*Worksheet!$E$19),2)</f>
        <v>0</v>
      </c>
      <c r="BO36" s="116">
        <f>ROUND(IF($F36=4,0,AC36*Worksheet!$E$20),2)</f>
        <v>0</v>
      </c>
      <c r="BP36" s="116">
        <f>ROUND(AD36*Worksheet!$E$21,2)</f>
        <v>0</v>
      </c>
      <c r="BQ36" s="116">
        <f t="shared" si="27"/>
        <v>0</v>
      </c>
      <c r="BR36" s="116">
        <f>ROUND(AD36*Worksheet!$E$25,2)</f>
        <v>0</v>
      </c>
      <c r="BS36" s="116">
        <f>ROUND(SUM(BQ36)*Worksheet!$E$26,2)</f>
        <v>0</v>
      </c>
      <c r="BT36" s="116">
        <f>ROUND(Y36*Worksheet!$E$27,2)</f>
        <v>0</v>
      </c>
      <c r="BU36" s="116">
        <f>ROUND(AO36*Worksheet!$E$29,2)</f>
        <v>0</v>
      </c>
      <c r="BV36" s="116">
        <f>ROUND(AP36*Worksheet!$E$30,2)</f>
        <v>0</v>
      </c>
      <c r="BW36" s="116">
        <f>ROUND(IF($I36&lt;&gt;0,$BQ36*Worksheet!$E$28,0),2)</f>
        <v>0</v>
      </c>
      <c r="BX36" s="116">
        <f>ROUND(AE36*Worksheet!$E$31,2)</f>
        <v>0</v>
      </c>
      <c r="BY36" s="116">
        <f>ROUND(AF36*Worksheet!$E$32,2)</f>
        <v>0</v>
      </c>
      <c r="BZ36" s="116">
        <f>ROUND(AG36*Worksheet!$E$33,2)</f>
        <v>0</v>
      </c>
      <c r="CA36" s="116">
        <f>ROUND(ROUND(AH36*BQ36,2)*Worksheet!$E$34,2)</f>
        <v>0</v>
      </c>
      <c r="CB36" s="116">
        <f>ROUND(AI36*Worksheet!$E$35,2)</f>
        <v>0</v>
      </c>
      <c r="CC36" s="116">
        <f>ROUND(AJ36*Worksheet!$E$36,2)</f>
        <v>0</v>
      </c>
      <c r="CD36" s="116">
        <f>ROUND(AQ36*Worksheet!$E$38,2)</f>
        <v>0</v>
      </c>
      <c r="CE36" s="116">
        <f>ROUND(AR36*Worksheet!$E$39,2)</f>
        <v>0</v>
      </c>
      <c r="CF36" s="116">
        <f>IF(AND(L36&gt;275,SUM(Y36:AD36)&lt;100),ROUND(SUM(Y36:AD36)*Worksheet!$E$41,2),0)</f>
        <v>0</v>
      </c>
      <c r="CG36" s="116">
        <f>IF(AND(L36&gt;600,SUM(Y36:AD36)&lt;50),ROUND((50-SUM(Y36:AD36))*(Worksheet!$E$41+1),2),0)</f>
        <v>0</v>
      </c>
      <c r="CH36" s="116">
        <f t="shared" si="28"/>
        <v>0</v>
      </c>
      <c r="CI36" s="116">
        <f t="shared" si="43"/>
        <v>0</v>
      </c>
      <c r="CJ36" s="116">
        <f t="shared" si="44"/>
        <v>0</v>
      </c>
      <c r="CK36" s="95">
        <f t="shared" si="29"/>
        <v>0</v>
      </c>
      <c r="CL36" s="116">
        <f t="shared" si="45"/>
        <v>0</v>
      </c>
      <c r="CM36" s="116">
        <f t="shared" si="46"/>
        <v>0</v>
      </c>
      <c r="CN36" s="116">
        <f t="shared" si="30"/>
        <v>0</v>
      </c>
      <c r="CO36" s="131">
        <f>ROUND(IF(F36=4,0,(MAX(ROUND(MAX((BI36*MIN(CL36,K36)*Worksheet!$D$126)+MAX(CL36-K36,0)*Worksheet!$F$50,SUM(J36)),2),SUM(CN36))-SUM(CN36))*MinAdj),2)</f>
        <v>0</v>
      </c>
      <c r="CP36" s="116">
        <f t="shared" si="31"/>
        <v>0</v>
      </c>
      <c r="CQ36" s="131">
        <f>IF(CL36=0,0,-MIN(CP36,MIN(CP36,ROUND(IF(ROUND(IF(CL36=0,0,N36/CL36),2)&lt;STVPP*0.2,STVPP*0.2*CL36*Worksheet!$F$88/1000,N36*Worksheet!$F$88/1000),2))))</f>
        <v>0</v>
      </c>
      <c r="CR36" s="131">
        <f>-MIN(SUM(CP36,CQ36),IF($P36=0,(ROUND(Worksheet!$E$77*S36,2)+ROUND(Worksheet!$E$78*T36,2)+ROUND(Worksheet!$E$79*U36,2)+ROUND(Worksheet!$E$80*V36,2)+ROUND(Worksheet!$E$81*W36,2)+ROUND(Worksheet!$E$82*X36,2)),(ROUND(ROUND(S36*ROUND((1-$O36/$P36),4),2)*Worksheet!$E$77,2)+ROUND(ROUND(T36*ROUND((1-$O36/$P36),4),2)*Worksheet!$E$78,2)+ROUND(ROUND(U36*ROUND((1-$O36/$P36),4),2)*Worksheet!$E$79,2)+ROUND(ROUND(V36*ROUND((1-$O36/$P36),4),2)*Worksheet!$E$80,2)+ROUND(ROUND(W36*ROUND((1-$O36/$P36),4),2)*Worksheet!$E$81,2)+ROUND(ROUND(X36*ROUND((1-$O36/$P36),4),2)*Worksheet!$E$82,2))))</f>
        <v>0</v>
      </c>
      <c r="CS36" s="116">
        <f t="shared" si="32"/>
        <v>0</v>
      </c>
      <c r="CT36" s="116">
        <f>ROUND(MIN(BA36,ROUND((ROUND(AS36*Worksheet!$E$104,2)+ROUND(AV36*Worksheet!$E$107,2)+ROUND(AT36*Worksheet!$E$105,2)+ROUND(AW36*Worksheet!$E$108,2)+ROUND(AU36*Worksheet!$E$106,2)+ROUND(AX36*Worksheet!$E$109,2)+ROUND(AY36*Worksheet!$E$110,2)+ROUND(AZ36*Worksheet!$E$111,2))*Worksheet!$D$114,2))*BaseRate,2)</f>
        <v>0</v>
      </c>
      <c r="CU36" s="121">
        <v>0</v>
      </c>
      <c r="CV36" s="121">
        <v>0</v>
      </c>
      <c r="CW36" s="121">
        <v>0</v>
      </c>
      <c r="CX36" s="121">
        <v>0</v>
      </c>
      <c r="CY36" s="121">
        <v>0</v>
      </c>
      <c r="DA36" s="116">
        <f t="shared" si="33"/>
        <v>0</v>
      </c>
      <c r="DB36" s="116">
        <f>MAX(-CT36,MIN(0,ROUND($R36*EFBPercent+EFBAdd,2)-$Q36),MIN(0,SUM($CS36:CS36)+MIN(0,ROUND($R36*EFBPercent+EFBAdd,2)-$Q36)))</f>
        <v>0</v>
      </c>
      <c r="DC36" s="192">
        <f>IF(CU36&lt;0,0,MAX(-CU36,MIN(0,ROUND($R36*EFBPercent+EFBAdd,2)-$Q36),MIN(0,SUM($CS36:CT36)+MIN(0,ROUND($R36*EFBPercent+EFBAdd,2)-$Q36))))</f>
        <v>0</v>
      </c>
      <c r="DD36" s="192">
        <f>IF(CV36&lt;0,0,MAX(-CV36,MIN(0,ROUND($R36*EFBPercent+EFBAdd,2)-$Q36),MIN(0,SUM($CS36:CU36)+MIN(0,ROUND($R36*EFBPercent+EFBAdd,2)-$Q36))))</f>
        <v>0</v>
      </c>
      <c r="DE36" s="192">
        <f>IF(CW36&lt;0,0,MAX(-CW36,MIN(0,ROUND($R36*EFBPercent+EFBAdd,2)-$Q36),MIN(0,SUM($CS36:CV36)+MIN(0,ROUND($R36*EFBPercent+EFBAdd,2)-$Q36))))</f>
        <v>0</v>
      </c>
      <c r="DF36" s="192">
        <f>IF(CX36&lt;0,0,MAX(-CX36,MIN(0,ROUND($R36*EFBPercent+EFBAdd,2)-$Q36),MIN(0,SUM($CS36:CW36)+MIN(0,ROUND($R36*EFBPercent+EFBAdd,2)-$Q36))))</f>
        <v>0</v>
      </c>
      <c r="DG36" s="116">
        <f>MAX(-CY36,MIN(0,ROUND($R36*EFBPercent+EFBAdd,2)-$Q36),MIN(0,SUM($CS36:CX36)+MIN(0,ROUND($R36*EFBPercent+EFBAdd,2)-$Q36)))</f>
        <v>0</v>
      </c>
      <c r="DI36" s="73">
        <f t="shared" si="34"/>
        <v>0</v>
      </c>
      <c r="DJ36" s="73">
        <f t="shared" si="35"/>
        <v>0</v>
      </c>
      <c r="DK36" s="73">
        <f t="shared" si="36"/>
        <v>0</v>
      </c>
      <c r="DL36" s="73">
        <f t="shared" si="37"/>
        <v>0</v>
      </c>
      <c r="DM36" s="73">
        <f t="shared" si="38"/>
        <v>0</v>
      </c>
      <c r="DN36" s="73">
        <f t="shared" si="39"/>
        <v>0</v>
      </c>
      <c r="DO36" s="73">
        <f t="shared" si="40"/>
        <v>0</v>
      </c>
      <c r="DP36" s="73"/>
      <c r="DQ36" s="73"/>
    </row>
    <row r="37" spans="1:121" ht="10.199999999999999" x14ac:dyDescent="0.2">
      <c r="A37" s="4" t="s">
        <v>662</v>
      </c>
      <c r="B37" s="188">
        <v>2501</v>
      </c>
      <c r="C37" s="189" t="s">
        <v>182</v>
      </c>
      <c r="D37" s="4">
        <v>2027</v>
      </c>
      <c r="E37" s="4" t="s">
        <v>1031</v>
      </c>
      <c r="F37" s="4">
        <v>7</v>
      </c>
      <c r="G37" s="4" t="s">
        <v>662</v>
      </c>
      <c r="H37" s="4">
        <v>0</v>
      </c>
      <c r="I37" s="4">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f t="shared" si="41"/>
        <v>0</v>
      </c>
      <c r="AP37" s="5">
        <v>0</v>
      </c>
      <c r="AQ37" s="5">
        <v>0</v>
      </c>
      <c r="AR37" s="5">
        <v>0</v>
      </c>
      <c r="AS37" s="5">
        <v>0</v>
      </c>
      <c r="AT37" s="5">
        <v>0</v>
      </c>
      <c r="AU37" s="5">
        <v>0</v>
      </c>
      <c r="AV37" s="5">
        <v>0</v>
      </c>
      <c r="AW37" s="199">
        <v>0</v>
      </c>
      <c r="AX37" s="199">
        <v>0</v>
      </c>
      <c r="AY37" s="199">
        <v>0</v>
      </c>
      <c r="AZ37" s="199">
        <v>0</v>
      </c>
      <c r="BA37" s="5">
        <v>0</v>
      </c>
      <c r="BB37" s="13">
        <v>0</v>
      </c>
      <c r="BC37" s="101">
        <f>MAX(ROUND(IF(F37&lt;4,IF(H37=0,(SUM(Y37:AD37)*Worksheet!$E$26+Y37*Worksheet!$E$27+AR37*Worksheet!$E$39)*-BaseRate,0)),2),MIN(0,-DI37))</f>
        <v>0</v>
      </c>
      <c r="BD37" s="101">
        <f>MAX(ROUND(IF(F37=4,0,IF(I37=0,0,ROUND(SUM(Y37:AD37)*Worksheet!$E$28,2)*-BaseRate)),2),MIN(0,-DI37-BC37))</f>
        <v>0</v>
      </c>
      <c r="BE37" s="130">
        <f t="shared" si="23"/>
        <v>0</v>
      </c>
      <c r="BF37" s="130">
        <f t="shared" si="24"/>
        <v>0</v>
      </c>
      <c r="BG37" s="73"/>
      <c r="BH37" s="118">
        <f t="shared" si="25"/>
        <v>0</v>
      </c>
      <c r="BI37" s="118">
        <f t="shared" si="26"/>
        <v>0</v>
      </c>
      <c r="BJ37" s="232">
        <f>IFERROR(ROUND(IF(AND(BB37*1.12&lt;N37*60/1000,N37/CL37&lt;STVPP*0.2),(CL37*STVPP*0.2*Worksheet!$F$88/1000-BB37*1.12)*PropTaxAdj,IF(BB37*1.12&lt;N37*60/1000,(N37*60/1000-BB37*1.12)*PropTaxAdj,0)),2),0)</f>
        <v>0</v>
      </c>
      <c r="BK37" s="116">
        <f>ROUND(IF($F37=4,0,Y37*Worksheet!$E$16),2)</f>
        <v>0</v>
      </c>
      <c r="BL37" s="116">
        <f>ROUND(IF($F37=4,0,Z37*Worksheet!$E$17),2)</f>
        <v>0</v>
      </c>
      <c r="BM37" s="116">
        <f>ROUND(IF($F37=4,0,AA37*Worksheet!$E$18),2)</f>
        <v>0</v>
      </c>
      <c r="BN37" s="116">
        <f>ROUND(IF($F37=4,0,AB37*Worksheet!$E$19),2)</f>
        <v>0</v>
      </c>
      <c r="BO37" s="116">
        <f>ROUND(IF($F37=4,0,AC37*Worksheet!$E$20),2)</f>
        <v>0</v>
      </c>
      <c r="BP37" s="116">
        <f>ROUND(AD37*Worksheet!$E$21,2)</f>
        <v>0</v>
      </c>
      <c r="BQ37" s="116">
        <f t="shared" si="27"/>
        <v>0</v>
      </c>
      <c r="BR37" s="116">
        <f>ROUND(AD37*Worksheet!$E$25,2)</f>
        <v>0</v>
      </c>
      <c r="BS37" s="116">
        <f>ROUND(SUM(BQ37)*Worksheet!$E$26,2)</f>
        <v>0</v>
      </c>
      <c r="BT37" s="116">
        <f>ROUND(Y37*Worksheet!$E$27,2)</f>
        <v>0</v>
      </c>
      <c r="BU37" s="116">
        <f>ROUND(AO37*Worksheet!$E$29,2)</f>
        <v>0</v>
      </c>
      <c r="BV37" s="116">
        <f>ROUND(AP37*Worksheet!$E$30,2)</f>
        <v>0</v>
      </c>
      <c r="BW37" s="116">
        <f>ROUND(IF($I37&lt;&gt;0,$BQ37*Worksheet!$E$28,0),2)</f>
        <v>0</v>
      </c>
      <c r="BX37" s="116">
        <f>ROUND(AE37*Worksheet!$E$31,2)</f>
        <v>0</v>
      </c>
      <c r="BY37" s="116">
        <f>ROUND(AF37*Worksheet!$E$32,2)</f>
        <v>0</v>
      </c>
      <c r="BZ37" s="116">
        <f>ROUND(AG37*Worksheet!$E$33,2)</f>
        <v>0</v>
      </c>
      <c r="CA37" s="116">
        <f>ROUND(ROUND(AH37*BQ37,2)*Worksheet!$E$34,2)</f>
        <v>0</v>
      </c>
      <c r="CB37" s="116">
        <f>ROUND(AI37*Worksheet!$E$35,2)</f>
        <v>0</v>
      </c>
      <c r="CC37" s="116">
        <f>ROUND(AJ37*Worksheet!$E$36,2)</f>
        <v>0</v>
      </c>
      <c r="CD37" s="116">
        <f>ROUND(AQ37*Worksheet!$E$38,2)</f>
        <v>0</v>
      </c>
      <c r="CE37" s="116">
        <f>ROUND(AR37*Worksheet!$E$39,2)</f>
        <v>0</v>
      </c>
      <c r="CF37" s="116">
        <f>IF(AND(L37&gt;275,SUM(Y37:AD37)&lt;100),ROUND(SUM(Y37:AD37)*Worksheet!$E$41,2),0)</f>
        <v>0</v>
      </c>
      <c r="CG37" s="116">
        <f>IF(AND(L37&gt;600,SUM(Y37:AD37)&lt;50),ROUND((50-SUM(Y37:AD37))*(Worksheet!$E$41+1),2),0)</f>
        <v>0</v>
      </c>
      <c r="CH37" s="116">
        <f t="shared" si="28"/>
        <v>0</v>
      </c>
      <c r="CI37" s="116">
        <f t="shared" si="43"/>
        <v>0</v>
      </c>
      <c r="CJ37" s="116">
        <f t="shared" si="44"/>
        <v>0</v>
      </c>
      <c r="CK37" s="95">
        <f t="shared" si="29"/>
        <v>0</v>
      </c>
      <c r="CL37" s="116">
        <f t="shared" si="45"/>
        <v>0</v>
      </c>
      <c r="CM37" s="116">
        <f t="shared" si="46"/>
        <v>0</v>
      </c>
      <c r="CN37" s="116">
        <f t="shared" si="30"/>
        <v>0</v>
      </c>
      <c r="CO37" s="131">
        <f>ROUND(IF(F37=4,0,(MAX(ROUND(MAX((BI37*MIN(CL37,K37)*Worksheet!$D$126)+MAX(CL37-K37,0)*Worksheet!$F$50,SUM(J37)),2),SUM(CN37))-SUM(CN37))*MinAdj),2)</f>
        <v>0</v>
      </c>
      <c r="CP37" s="116">
        <f t="shared" si="31"/>
        <v>0</v>
      </c>
      <c r="CQ37" s="131">
        <f>IF(CL37=0,0,-MIN(CP37,MIN(CP37,ROUND(IF(ROUND(IF(CL37=0,0,N37/CL37),2)&lt;STVPP*0.2,STVPP*0.2*CL37*Worksheet!$F$88/1000,N37*Worksheet!$F$88/1000),2))))</f>
        <v>0</v>
      </c>
      <c r="CR37" s="131">
        <f>-MIN(SUM(CP37,CQ37),IF($P37=0,(ROUND(Worksheet!$E$77*S37,2)+ROUND(Worksheet!$E$78*T37,2)+ROUND(Worksheet!$E$79*U37,2)+ROUND(Worksheet!$E$80*V37,2)+ROUND(Worksheet!$E$81*W37,2)+ROUND(Worksheet!$E$82*X37,2)),(ROUND(ROUND(S37*ROUND((1-$O37/$P37),4),2)*Worksheet!$E$77,2)+ROUND(ROUND(T37*ROUND((1-$O37/$P37),4),2)*Worksheet!$E$78,2)+ROUND(ROUND(U37*ROUND((1-$O37/$P37),4),2)*Worksheet!$E$79,2)+ROUND(ROUND(V37*ROUND((1-$O37/$P37),4),2)*Worksheet!$E$80,2)+ROUND(ROUND(W37*ROUND((1-$O37/$P37),4),2)*Worksheet!$E$81,2)+ROUND(ROUND(X37*ROUND((1-$O37/$P37),4),2)*Worksheet!$E$82,2))))</f>
        <v>0</v>
      </c>
      <c r="CS37" s="116">
        <f t="shared" si="32"/>
        <v>0</v>
      </c>
      <c r="CT37" s="116">
        <f>ROUND(MIN(BA37,ROUND((ROUND(AS37*Worksheet!$E$104,2)+ROUND(AV37*Worksheet!$E$107,2)+ROUND(AT37*Worksheet!$E$105,2)+ROUND(AW37*Worksheet!$E$108,2)+ROUND(AU37*Worksheet!$E$106,2)+ROUND(AX37*Worksheet!$E$109,2)+ROUND(AY37*Worksheet!$E$110,2)+ROUND(AZ37*Worksheet!$E$111,2))*Worksheet!$D$114,2))*BaseRate,2)</f>
        <v>0</v>
      </c>
      <c r="CU37" s="121">
        <v>0</v>
      </c>
      <c r="CV37" s="121">
        <v>53557.22</v>
      </c>
      <c r="CW37" s="121">
        <v>46685.16</v>
      </c>
      <c r="CX37" s="121">
        <v>0</v>
      </c>
      <c r="CY37" s="121">
        <v>0</v>
      </c>
      <c r="DA37" s="116">
        <f t="shared" si="33"/>
        <v>0</v>
      </c>
      <c r="DB37" s="116">
        <f>MAX(-CT37,MIN(0,ROUND($R37*EFBPercent+EFBAdd,2)-$Q37),MIN(0,SUM($CS37:CS37)+MIN(0,ROUND($R37*EFBPercent+EFBAdd,2)-$Q37)))</f>
        <v>0</v>
      </c>
      <c r="DC37" s="192">
        <f>IF(CU37&lt;0,0,MAX(-CU37,MIN(0,ROUND($R37*EFBPercent+EFBAdd,2)-$Q37),MIN(0,SUM($CS37:CT37)+MIN(0,ROUND($R37*EFBPercent+EFBAdd,2)-$Q37))))</f>
        <v>0</v>
      </c>
      <c r="DD37" s="192">
        <f>IF(CV37&lt;0,0,MAX(-CV37,MIN(0,ROUND($R37*EFBPercent+EFBAdd,2)-$Q37),MIN(0,SUM($CS37:CU37)+MIN(0,ROUND($R37*EFBPercent+EFBAdd,2)-$Q37))))</f>
        <v>0</v>
      </c>
      <c r="DE37" s="192">
        <f>IF(CW37&lt;0,0,MAX(-CW37,MIN(0,ROUND($R37*EFBPercent+EFBAdd,2)-$Q37),MIN(0,SUM($CS37:CV37)+MIN(0,ROUND($R37*EFBPercent+EFBAdd,2)-$Q37))))</f>
        <v>0</v>
      </c>
      <c r="DF37" s="192">
        <f>IF(CX37&lt;0,0,MAX(-CX37,MIN(0,ROUND($R37*EFBPercent+EFBAdd,2)-$Q37),MIN(0,SUM($CS37:CW37)+MIN(0,ROUND($R37*EFBPercent+EFBAdd,2)-$Q37))))</f>
        <v>0</v>
      </c>
      <c r="DG37" s="116">
        <f>MAX(-CY37,MIN(0,ROUND($R37*EFBPercent+EFBAdd,2)-$Q37),MIN(0,SUM($CS37:CX37)+MIN(0,ROUND($R37*EFBPercent+EFBAdd,2)-$Q37)))</f>
        <v>0</v>
      </c>
      <c r="DI37" s="73">
        <f t="shared" si="34"/>
        <v>0</v>
      </c>
      <c r="DJ37" s="73">
        <f t="shared" si="35"/>
        <v>0</v>
      </c>
      <c r="DK37" s="73">
        <f t="shared" si="36"/>
        <v>0</v>
      </c>
      <c r="DL37" s="73">
        <f t="shared" si="37"/>
        <v>53557.22</v>
      </c>
      <c r="DM37" s="73">
        <f t="shared" si="38"/>
        <v>46685.16</v>
      </c>
      <c r="DN37" s="73">
        <f t="shared" si="39"/>
        <v>0</v>
      </c>
      <c r="DO37" s="73">
        <f t="shared" si="40"/>
        <v>0</v>
      </c>
      <c r="DP37" s="73"/>
      <c r="DQ37" s="73"/>
    </row>
    <row r="38" spans="1:121" ht="10.199999999999999" x14ac:dyDescent="0.2">
      <c r="A38" s="4" t="s">
        <v>1130</v>
      </c>
      <c r="B38" s="188">
        <v>1403</v>
      </c>
      <c r="C38" s="189" t="s">
        <v>1102</v>
      </c>
      <c r="D38" s="4">
        <v>2027</v>
      </c>
      <c r="E38" s="4" t="s">
        <v>1131</v>
      </c>
      <c r="F38" s="4">
        <v>7</v>
      </c>
      <c r="G38" s="4" t="s">
        <v>1130</v>
      </c>
      <c r="H38" s="4">
        <v>0</v>
      </c>
      <c r="I38" s="4">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f t="shared" si="41"/>
        <v>0</v>
      </c>
      <c r="AP38" s="5">
        <v>0</v>
      </c>
      <c r="AQ38" s="5">
        <v>0</v>
      </c>
      <c r="AR38" s="5">
        <v>0</v>
      </c>
      <c r="AS38" s="5">
        <v>0</v>
      </c>
      <c r="AT38" s="5">
        <v>0</v>
      </c>
      <c r="AU38" s="5">
        <v>0</v>
      </c>
      <c r="AV38" s="5">
        <v>0</v>
      </c>
      <c r="AW38" s="5">
        <v>0</v>
      </c>
      <c r="AX38" s="5">
        <v>0</v>
      </c>
      <c r="AY38" s="199">
        <v>0</v>
      </c>
      <c r="AZ38" s="199">
        <v>0</v>
      </c>
      <c r="BA38" s="5">
        <v>0</v>
      </c>
      <c r="BB38" s="13">
        <v>0</v>
      </c>
      <c r="BC38" s="101">
        <f>MAX(ROUND(IF(F38&lt;4,IF(H38=0,(SUM(Y38:AD38)*Worksheet!$E$26+Y38*Worksheet!$E$27+AR38*Worksheet!$E$39)*-BaseRate,0)),2),MIN(0,-DI38))</f>
        <v>0</v>
      </c>
      <c r="BD38" s="101">
        <f>MAX(ROUND(IF(F38=4,0,IF(I38=0,0,ROUND(SUM(Y38:AD38)*Worksheet!$E$28,2)*-BaseRate)),2),MIN(0,-DI38-BC38))</f>
        <v>0</v>
      </c>
      <c r="BE38" s="130">
        <f t="shared" si="23"/>
        <v>0</v>
      </c>
      <c r="BF38" s="130">
        <f t="shared" si="24"/>
        <v>0</v>
      </c>
      <c r="BG38" s="73"/>
      <c r="BH38" s="118">
        <f t="shared" si="25"/>
        <v>0</v>
      </c>
      <c r="BI38" s="118">
        <f t="shared" si="26"/>
        <v>0</v>
      </c>
      <c r="BJ38" s="232">
        <f>IFERROR(ROUND(IF(AND(BB38*1.12&lt;N38*60/1000,N38/CL38&lt;STVPP*0.2),(CL38*STVPP*0.2*Worksheet!$F$88/1000-BB38*1.12)*PropTaxAdj,IF(BB38*1.12&lt;N38*60/1000,(N38*60/1000-BB38*1.12)*PropTaxAdj,0)),2),0)</f>
        <v>0</v>
      </c>
      <c r="BK38" s="116">
        <f>ROUND(IF($F38=4,0,Y38*Worksheet!$E$16),2)</f>
        <v>0</v>
      </c>
      <c r="BL38" s="116">
        <f>ROUND(IF($F38=4,0,Z38*Worksheet!$E$17),2)</f>
        <v>0</v>
      </c>
      <c r="BM38" s="116">
        <f>ROUND(IF($F38=4,0,AA38*Worksheet!$E$18),2)</f>
        <v>0</v>
      </c>
      <c r="BN38" s="116">
        <f>ROUND(IF($F38=4,0,AB38*Worksheet!$E$19),2)</f>
        <v>0</v>
      </c>
      <c r="BO38" s="116">
        <f>ROUND(IF($F38=4,0,AC38*Worksheet!$E$20),2)</f>
        <v>0</v>
      </c>
      <c r="BP38" s="116">
        <f>ROUND(AD38*Worksheet!$E$21,2)</f>
        <v>0</v>
      </c>
      <c r="BQ38" s="116">
        <f t="shared" ref="BQ38" si="50">SUM(BK38:BP38)</f>
        <v>0</v>
      </c>
      <c r="BR38" s="116">
        <f>ROUND(AD38*Worksheet!$E$25,2)</f>
        <v>0</v>
      </c>
      <c r="BS38" s="116">
        <f>ROUND(SUM(BQ38)*Worksheet!$E$26,2)</f>
        <v>0</v>
      </c>
      <c r="BT38" s="116">
        <f>ROUND(Y38*Worksheet!$E$27,2)</f>
        <v>0</v>
      </c>
      <c r="BU38" s="116">
        <f>ROUND(AO38*Worksheet!$E$29,2)</f>
        <v>0</v>
      </c>
      <c r="BV38" s="116">
        <f>ROUND(AP38*Worksheet!$E$30,2)</f>
        <v>0</v>
      </c>
      <c r="BW38" s="116">
        <f>ROUND(IF($I38&lt;&gt;0,$BQ38*Worksheet!$E$28,0),2)</f>
        <v>0</v>
      </c>
      <c r="BX38" s="116">
        <f>ROUND(AE38*Worksheet!$E$31,2)</f>
        <v>0</v>
      </c>
      <c r="BY38" s="116">
        <f>ROUND(AF38*Worksheet!$E$32,2)</f>
        <v>0</v>
      </c>
      <c r="BZ38" s="116">
        <f>ROUND(AG38*Worksheet!$E$33,2)</f>
        <v>0</v>
      </c>
      <c r="CA38" s="116">
        <f>ROUND(ROUND(AH38*BQ38,2)*Worksheet!$E$34,2)</f>
        <v>0</v>
      </c>
      <c r="CB38" s="116">
        <f>ROUND(AI38*Worksheet!$E$35,2)</f>
        <v>0</v>
      </c>
      <c r="CC38" s="116">
        <f>ROUND(AJ38*Worksheet!$E$36,2)</f>
        <v>0</v>
      </c>
      <c r="CD38" s="116">
        <f>ROUND(AQ38*Worksheet!$E$38,2)</f>
        <v>0</v>
      </c>
      <c r="CE38" s="116">
        <f>ROUND(AR38*Worksheet!$E$39,2)</f>
        <v>0</v>
      </c>
      <c r="CF38" s="116">
        <f>IF(AND(L38&gt;275,SUM(Y38:AD38)&lt;100),ROUND(SUM(Y38:AD38)*Worksheet!$E$41,2),0)</f>
        <v>0</v>
      </c>
      <c r="CG38" s="116">
        <f>IF(AND(L38&gt;600,SUM(Y38:AD38)&lt;50),ROUND((50-SUM(Y38:AD38))*(Worksheet!$E$41+1),2),0)</f>
        <v>0</v>
      </c>
      <c r="CH38" s="116">
        <f t="shared" ref="CH38" si="51">SUM(BQ38:CG38)</f>
        <v>0</v>
      </c>
      <c r="CI38" s="116">
        <f t="shared" si="43"/>
        <v>0</v>
      </c>
      <c r="CJ38" s="116">
        <f t="shared" si="44"/>
        <v>0</v>
      </c>
      <c r="CK38" s="95">
        <f t="shared" si="29"/>
        <v>0</v>
      </c>
      <c r="CL38" s="116">
        <f t="shared" si="45"/>
        <v>0</v>
      </c>
      <c r="CM38" s="116">
        <f t="shared" si="46"/>
        <v>0</v>
      </c>
      <c r="CN38" s="116">
        <f t="shared" si="30"/>
        <v>0</v>
      </c>
      <c r="CO38" s="131">
        <f>ROUND(IF(F38=4,0,(MAX(ROUND(MAX((BI38*MIN(CL38,K38)*Worksheet!$D$126)+MAX(CL38-K38,0)*Worksheet!$F$50,SUM(J38)),2),SUM(CN38))-SUM(CN38))*MinAdj),2)</f>
        <v>0</v>
      </c>
      <c r="CP38" s="116">
        <f t="shared" ref="CP38" si="52">SUM(CN38:CO38)</f>
        <v>0</v>
      </c>
      <c r="CQ38" s="131">
        <f>IF(CL38=0,0,-MIN(CP38,MIN(CP38,ROUND(IF(ROUND(IF(CL38=0,0,N38/CL38),2)&lt;STVPP*0.2,STVPP*0.2*CL38*Worksheet!$F$88/1000,N38*Worksheet!$F$88/1000),2))))</f>
        <v>0</v>
      </c>
      <c r="CR38" s="131">
        <f>-MIN(SUM(CP38,CQ38),IF($P38=0,(ROUND(Worksheet!$E$77*S38,2)+ROUND(Worksheet!$E$78*T38,2)+ROUND(Worksheet!$E$79*U38,2)+ROUND(Worksheet!$E$80*V38,2)+ROUND(Worksheet!$E$81*W38,2)+ROUND(Worksheet!$E$82*X38,2)),(ROUND(ROUND(S38*ROUND((1-$O38/$P38),4),2)*Worksheet!$E$77,2)+ROUND(ROUND(T38*ROUND((1-$O38/$P38),4),2)*Worksheet!$E$78,2)+ROUND(ROUND(U38*ROUND((1-$O38/$P38),4),2)*Worksheet!$E$79,2)+ROUND(ROUND(V38*ROUND((1-$O38/$P38),4),2)*Worksheet!$E$80,2)+ROUND(ROUND(W38*ROUND((1-$O38/$P38),4),2)*Worksheet!$E$81,2)+ROUND(ROUND(X38*ROUND((1-$O38/$P38),4),2)*Worksheet!$E$82,2))))</f>
        <v>0</v>
      </c>
      <c r="CS38" s="116">
        <f t="shared" ref="CS38" si="53">SUM(CP38:CR38)</f>
        <v>0</v>
      </c>
      <c r="CT38" s="116">
        <f>ROUND(MIN(BA38,ROUND((ROUND(AS38*Worksheet!$E$104,2)+ROUND(AV38*Worksheet!$E$107,2)+ROUND(AT38*Worksheet!$E$105,2)+ROUND(AW38*Worksheet!$E$108,2)+ROUND(AU38*Worksheet!$E$106,2)+ROUND(AX38*Worksheet!$E$109,2)+ROUND(AY38*Worksheet!$E$110,2)+ROUND(AZ38*Worksheet!$E$111,2))*Worksheet!$D$114,2))*BaseRate,2)</f>
        <v>0</v>
      </c>
      <c r="CU38" s="121">
        <v>0</v>
      </c>
      <c r="CV38" s="121">
        <v>0</v>
      </c>
      <c r="CW38" s="121">
        <v>0</v>
      </c>
      <c r="CX38" s="121">
        <v>0</v>
      </c>
      <c r="CY38" s="121">
        <v>0</v>
      </c>
      <c r="DA38" s="116">
        <f t="shared" ref="DA38" si="54">MAX(-CS38,MIN(0,ROUND($R38*EFBPercent+EFBAdd,2)-$Q38))</f>
        <v>0</v>
      </c>
      <c r="DB38" s="116">
        <f>MAX(-CT38,MIN(0,ROUND($R38*EFBPercent+EFBAdd,2)-$Q38),MIN(0,SUM($CS38:CS38)+MIN(0,ROUND($R38*EFBPercent+EFBAdd,2)-$Q38)))</f>
        <v>0</v>
      </c>
      <c r="DC38" s="192">
        <f>IF(CU38&lt;0,0,MAX(-CU38,MIN(0,ROUND($R38*EFBPercent+EFBAdd,2)-$Q38),MIN(0,SUM($CS38:CT38)+MIN(0,ROUND($R38*EFBPercent+EFBAdd,2)-$Q38))))</f>
        <v>0</v>
      </c>
      <c r="DD38" s="192">
        <f>IF(CV38&lt;0,0,MAX(-CV38,MIN(0,ROUND($R38*EFBPercent+EFBAdd,2)-$Q38),MIN(0,SUM($CS38:CU38)+MIN(0,ROUND($R38*EFBPercent+EFBAdd,2)-$Q38))))</f>
        <v>0</v>
      </c>
      <c r="DE38" s="192">
        <f>IF(CW38&lt;0,0,MAX(-CW38,MIN(0,ROUND($R38*EFBPercent+EFBAdd,2)-$Q38),MIN(0,SUM($CS38:CV38)+MIN(0,ROUND($R38*EFBPercent+EFBAdd,2)-$Q38))))</f>
        <v>0</v>
      </c>
      <c r="DF38" s="192">
        <f>IF(CX38&lt;0,0,MAX(-CX38,MIN(0,ROUND($R38*EFBPercent+EFBAdd,2)-$Q38),MIN(0,SUM($CS38:CW38)+MIN(0,ROUND($R38*EFBPercent+EFBAdd,2)-$Q38))))</f>
        <v>0</v>
      </c>
      <c r="DG38" s="116">
        <f>MAX(-CY38,MIN(0,ROUND($R38*EFBPercent+EFBAdd,2)-$Q38),MIN(0,SUM($CS38:CX38)+MIN(0,ROUND($R38*EFBPercent+EFBAdd,2)-$Q38)))</f>
        <v>0</v>
      </c>
      <c r="DI38" s="73">
        <f t="shared" ref="DI38" si="55">+CS38+DA38</f>
        <v>0</v>
      </c>
      <c r="DJ38" s="73">
        <f t="shared" ref="DJ38" si="56">+CT38+DB38</f>
        <v>0</v>
      </c>
      <c r="DK38" s="73">
        <f t="shared" ref="DK38" si="57">+CU38+DC38</f>
        <v>0</v>
      </c>
      <c r="DL38" s="73">
        <f t="shared" ref="DL38" si="58">+CV38+DD38</f>
        <v>0</v>
      </c>
      <c r="DM38" s="73">
        <f t="shared" ref="DM38" si="59">+CW38+DE38</f>
        <v>0</v>
      </c>
      <c r="DN38" s="73">
        <f t="shared" ref="DN38" si="60">+CX38+DF38</f>
        <v>0</v>
      </c>
      <c r="DO38" s="73">
        <f t="shared" ref="DO38" si="61">+CY38+DG38</f>
        <v>0</v>
      </c>
      <c r="DP38" s="73"/>
      <c r="DQ38" s="73"/>
    </row>
    <row r="39" spans="1:121" ht="10.199999999999999" x14ac:dyDescent="0.2">
      <c r="A39" s="4" t="s">
        <v>523</v>
      </c>
      <c r="B39" s="188">
        <v>1039</v>
      </c>
      <c r="C39" s="189" t="s">
        <v>49</v>
      </c>
      <c r="D39" s="4">
        <v>2027</v>
      </c>
      <c r="E39" s="4" t="s">
        <v>366</v>
      </c>
      <c r="F39" s="4">
        <v>1</v>
      </c>
      <c r="G39" s="4" t="s">
        <v>664</v>
      </c>
      <c r="H39" s="4">
        <v>100</v>
      </c>
      <c r="I39" s="4" t="s">
        <v>853</v>
      </c>
      <c r="J39" s="5">
        <v>123439765.54000001</v>
      </c>
      <c r="K39" s="5">
        <v>12796.99</v>
      </c>
      <c r="L39" s="5">
        <v>56.96</v>
      </c>
      <c r="M39" s="5">
        <v>0</v>
      </c>
      <c r="N39" s="5">
        <v>609934940</v>
      </c>
      <c r="O39" s="5">
        <v>0</v>
      </c>
      <c r="P39" s="5">
        <v>154.13</v>
      </c>
      <c r="Q39" s="5">
        <v>0</v>
      </c>
      <c r="R39" s="5">
        <v>0</v>
      </c>
      <c r="S39" s="5">
        <v>152016.82</v>
      </c>
      <c r="T39" s="5">
        <v>0</v>
      </c>
      <c r="U39" s="5">
        <v>0</v>
      </c>
      <c r="V39" s="5">
        <v>89759.49</v>
      </c>
      <c r="W39" s="5">
        <v>21303.67</v>
      </c>
      <c r="X39" s="5">
        <v>658294.44999999995</v>
      </c>
      <c r="Y39" s="5">
        <v>182.16</v>
      </c>
      <c r="Z39" s="5">
        <v>763</v>
      </c>
      <c r="AA39" s="5">
        <v>5193</v>
      </c>
      <c r="AB39" s="5">
        <v>1757</v>
      </c>
      <c r="AC39" s="5">
        <v>3309.26</v>
      </c>
      <c r="AD39" s="5">
        <v>142.74</v>
      </c>
      <c r="AE39" s="5">
        <v>125.76</v>
      </c>
      <c r="AF39" s="5">
        <v>169.80999999999997</v>
      </c>
      <c r="AG39" s="5">
        <v>308.55000000000013</v>
      </c>
      <c r="AH39" s="5">
        <v>0.38200000000000001</v>
      </c>
      <c r="AI39" s="5">
        <v>0</v>
      </c>
      <c r="AJ39" s="5">
        <v>0</v>
      </c>
      <c r="AK39" s="5">
        <v>195.64999999999998</v>
      </c>
      <c r="AL39" s="5">
        <v>11210.13</v>
      </c>
      <c r="AM39" s="5">
        <v>0</v>
      </c>
      <c r="AN39" s="5">
        <v>11165</v>
      </c>
      <c r="AO39" s="5">
        <f t="shared" si="41"/>
        <v>45.1299999999992</v>
      </c>
      <c r="AP39" s="5">
        <f t="shared" ref="AP39:AP46" si="62">IF(AM39&gt;0,SUM(Z39:AD39)-AN39,0)</f>
        <v>0</v>
      </c>
      <c r="AQ39" s="5">
        <v>186.69</v>
      </c>
      <c r="AR39" s="5">
        <v>15.41</v>
      </c>
      <c r="AS39" s="5">
        <v>36445.5</v>
      </c>
      <c r="AT39" s="5">
        <v>623018.5</v>
      </c>
      <c r="AU39" s="5">
        <v>1834</v>
      </c>
      <c r="AV39" s="5">
        <v>51553</v>
      </c>
      <c r="AW39" s="5">
        <v>56.96</v>
      </c>
      <c r="AX39" s="5">
        <v>23</v>
      </c>
      <c r="AY39" s="199">
        <v>0</v>
      </c>
      <c r="AZ39" s="199">
        <v>0</v>
      </c>
      <c r="BA39" s="5">
        <v>6991655.2199999997</v>
      </c>
      <c r="BB39" s="13">
        <v>35043297.299999997</v>
      </c>
      <c r="BC39" s="101">
        <f>MAX(ROUND(IF(F39&lt;4,IF(H39=0,(SUM(Y39:AD39)*Worksheet!$E$26+Y39*Worksheet!$E$27+AR39*Worksheet!$E$39)*-BaseRate,0)),2),MIN(0,-DI39))</f>
        <v>0</v>
      </c>
      <c r="BD39" s="101">
        <f>MAX(ROUND(IF(F39=4,0,IF(I39=0,0,ROUND(SUM(Y39:AD39)*Worksheet!$E$28,2)*-BaseRate)),2),MIN(0,-DI39-BC39))</f>
        <v>-263952.77</v>
      </c>
      <c r="BE39" s="130">
        <f t="shared" si="23"/>
        <v>0</v>
      </c>
      <c r="BF39" s="130">
        <f t="shared" si="24"/>
        <v>1408</v>
      </c>
      <c r="BG39" s="73"/>
      <c r="BH39" s="118">
        <f t="shared" si="25"/>
        <v>48255.19</v>
      </c>
      <c r="BI39" s="118">
        <f t="shared" si="26"/>
        <v>9646</v>
      </c>
      <c r="BJ39" s="232">
        <f>IFERROR(ROUND(IF(AND(BB39*1.12&lt;N39*60/1000,N39/CL39&lt;STVPP*0.2),(CL39*STVPP*0.2*Worksheet!$F$88/1000-BB39*1.12)*PropTaxAdj,IF(BB39*1.12&lt;N39*60/1000,(N39*60/1000-BB39*1.12)*PropTaxAdj,0)),2),0)</f>
        <v>0</v>
      </c>
      <c r="BK39" s="116">
        <f>ROUND(IF($F39=4,0,Y39*Worksheet!$E$16),2)</f>
        <v>182.16</v>
      </c>
      <c r="BL39" s="116">
        <f>ROUND(IF($F39=4,0,Z39*Worksheet!$E$17),2)</f>
        <v>763</v>
      </c>
      <c r="BM39" s="116">
        <f>ROUND(IF($F39=4,0,AA39*Worksheet!$E$18),2)</f>
        <v>5193</v>
      </c>
      <c r="BN39" s="116">
        <f>ROUND(IF($F39=4,0,AB39*Worksheet!$E$19),2)</f>
        <v>1757</v>
      </c>
      <c r="BO39" s="116">
        <f>ROUND(IF($F39=4,0,AC39*Worksheet!$E$20),2)</f>
        <v>3309.26</v>
      </c>
      <c r="BP39" s="116">
        <f>ROUND(AD39*Worksheet!$E$21,2)</f>
        <v>142.74</v>
      </c>
      <c r="BQ39" s="116">
        <f t="shared" si="27"/>
        <v>11347.16</v>
      </c>
      <c r="BR39" s="116">
        <f>ROUND(AD39*Worksheet!$E$25,2)</f>
        <v>35.69</v>
      </c>
      <c r="BS39" s="116">
        <f>ROUND(SUM(BQ39)*Worksheet!$E$26,2)</f>
        <v>998.55</v>
      </c>
      <c r="BT39" s="116">
        <f>ROUND(Y39*Worksheet!$E$27,2)</f>
        <v>30.97</v>
      </c>
      <c r="BU39" s="116">
        <f>ROUND(AO39*Worksheet!$E$29,2)</f>
        <v>45.13</v>
      </c>
      <c r="BV39" s="116">
        <f>ROUND(AP39*Worksheet!$E$30,2)</f>
        <v>0</v>
      </c>
      <c r="BW39" s="116">
        <f>ROUND(IF($I39&lt;&gt;0,$BQ39*Worksheet!$E$28,0),2)</f>
        <v>22.69</v>
      </c>
      <c r="BX39" s="116">
        <f>ROUND(AE39*Worksheet!$E$31,2)</f>
        <v>50.3</v>
      </c>
      <c r="BY39" s="116">
        <f>ROUND(AF39*Worksheet!$E$32,2)</f>
        <v>47.55</v>
      </c>
      <c r="BZ39" s="116">
        <f>ROUND(AG39*Worksheet!$E$33,2)</f>
        <v>21.6</v>
      </c>
      <c r="CA39" s="116">
        <f>ROUND(ROUND(AH39*BQ39,2)*Worksheet!$E$34,2)</f>
        <v>108.37</v>
      </c>
      <c r="CB39" s="116">
        <f>ROUND(AI39*Worksheet!$E$35,2)</f>
        <v>0</v>
      </c>
      <c r="CC39" s="116">
        <f>ROUND(AJ39*Worksheet!$E$36,2)</f>
        <v>0</v>
      </c>
      <c r="CD39" s="116">
        <f>ROUND(AQ39*Worksheet!$E$38,2)</f>
        <v>112.01</v>
      </c>
      <c r="CE39" s="116">
        <f>ROUND(AR39*Worksheet!$E$39,2)</f>
        <v>15.41</v>
      </c>
      <c r="CF39" s="116">
        <f>IF(AND(L39&gt;275,SUM(Y39:AD39)&lt;100),ROUND(SUM(Y39:AD39)*Worksheet!$E$41,2),0)</f>
        <v>0</v>
      </c>
      <c r="CG39" s="116">
        <f>IF(AND(L39&gt;600,SUM(Y39:AD39)&lt;50),ROUND((50-SUM(Y39:AD39))*(Worksheet!$E$41+1),2),0)</f>
        <v>0</v>
      </c>
      <c r="CH39" s="116">
        <f t="shared" si="28"/>
        <v>12835.429999999998</v>
      </c>
      <c r="CI39" s="116">
        <f t="shared" si="43"/>
        <v>195.64999999999998</v>
      </c>
      <c r="CJ39" s="116">
        <f t="shared" si="44"/>
        <v>12639.779999999999</v>
      </c>
      <c r="CK39" s="95">
        <f t="shared" si="29"/>
        <v>1</v>
      </c>
      <c r="CL39" s="116">
        <f t="shared" si="45"/>
        <v>12639.78</v>
      </c>
      <c r="CM39" s="116">
        <f t="shared" si="46"/>
        <v>12835.43</v>
      </c>
      <c r="CN39" s="116">
        <f t="shared" si="30"/>
        <v>149314557.19</v>
      </c>
      <c r="CO39" s="131">
        <f>ROUND(IF(F39=4,0,(MAX(ROUND(MAX((BI39*MIN(CL39,K39)*Worksheet!$D$126)+MAX(CL39-K39,0)*Worksheet!$F$50,SUM(J39)),2),SUM(CN39))-SUM(CN39))*MinAdj),2)</f>
        <v>0</v>
      </c>
      <c r="CP39" s="116">
        <f t="shared" si="31"/>
        <v>149314557.19</v>
      </c>
      <c r="CQ39" s="131">
        <f>IF(CL39=0,0,-MIN(CP39,MIN(CP39,ROUND(IF(ROUND(IF(CL39=0,0,N39/CL39),2)&lt;STVPP*0.2,STVPP*0.2*CL39*Worksheet!$F$88/1000,N39*Worksheet!$F$88/1000),2))))</f>
        <v>-36596096.399999999</v>
      </c>
      <c r="CR39" s="131">
        <f>-MIN(SUM(CP39,CQ39),IF($P39=0,(ROUND(Worksheet!$E$77*S39,2)+ROUND(Worksheet!$E$78*T39,2)+ROUND(Worksheet!$E$79*U39,2)+ROUND(Worksheet!$E$80*V39,2)+ROUND(Worksheet!$E$81*W39,2)+ROUND(Worksheet!$E$82*X39,2)),(ROUND(ROUND(S39*ROUND((1-$O39/$P39),4),2)*Worksheet!$E$77,2)+ROUND(ROUND(T39*ROUND((1-$O39/$P39),4),2)*Worksheet!$E$78,2)+ROUND(ROUND(U39*ROUND((1-$O39/$P39),4),2)*Worksheet!$E$79,2)+ROUND(ROUND(V39*ROUND((1-$O39/$P39),4),2)*Worksheet!$E$80,2)+ROUND(ROUND(W39*ROUND((1-$O39/$P39),4),2)*Worksheet!$E$81,2)+ROUND(ROUND(X39*ROUND((1-$O39/$P39),4),2)*Worksheet!$E$82,2))))</f>
        <v>-691030.83000000007</v>
      </c>
      <c r="CS39" s="116">
        <f t="shared" si="32"/>
        <v>112027429.95999999</v>
      </c>
      <c r="CT39" s="116">
        <f>ROUND(MIN(BA39,ROUND((ROUND(AS39*Worksheet!$E$104,2)+ROUND(AV39*Worksheet!$E$107,2)+ROUND(AT39*Worksheet!$E$105,2)+ROUND(AW39*Worksheet!$E$108,2)+ROUND(AU39*Worksheet!$E$106,2)+ROUND(AX39*Worksheet!$E$109,2)+ROUND(AY39*Worksheet!$E$110,2)+ROUND(AZ39*Worksheet!$E$111,2))*Worksheet!$D$114,2))*BaseRate,2)</f>
        <v>1349776.99</v>
      </c>
      <c r="CU39" s="121">
        <v>169307.05</v>
      </c>
      <c r="CV39" s="121">
        <v>0</v>
      </c>
      <c r="CW39" s="121">
        <v>0</v>
      </c>
      <c r="CX39" s="121">
        <v>0</v>
      </c>
      <c r="CY39" s="121">
        <v>0</v>
      </c>
      <c r="DA39" s="116">
        <f t="shared" si="33"/>
        <v>0</v>
      </c>
      <c r="DB39" s="116">
        <f>MAX(-CT39,MIN(0,ROUND($R39*EFBPercent+EFBAdd,2)-$Q39),MIN(0,SUM($CS39:CS39)+MIN(0,ROUND($R39*EFBPercent+EFBAdd,2)-$Q39)))</f>
        <v>0</v>
      </c>
      <c r="DC39" s="192">
        <f>IF(CU39&lt;0,0,MAX(-CU39,MIN(0,ROUND($R39*EFBPercent+EFBAdd,2)-$Q39),MIN(0,SUM($CS39:CT39)+MIN(0,ROUND($R39*EFBPercent+EFBAdd,2)-$Q39))))</f>
        <v>0</v>
      </c>
      <c r="DD39" s="192">
        <f>IF(CV39&lt;0,0,MAX(-CV39,MIN(0,ROUND($R39*EFBPercent+EFBAdd,2)-$Q39),MIN(0,SUM($CS39:CU39)+MIN(0,ROUND($R39*EFBPercent+EFBAdd,2)-$Q39))))</f>
        <v>0</v>
      </c>
      <c r="DE39" s="192">
        <f>IF(CW39&lt;0,0,MAX(-CW39,MIN(0,ROUND($R39*EFBPercent+EFBAdd,2)-$Q39),MIN(0,SUM($CS39:CV39)+MIN(0,ROUND($R39*EFBPercent+EFBAdd,2)-$Q39))))</f>
        <v>0</v>
      </c>
      <c r="DF39" s="192">
        <f>IF(CX39&lt;0,0,MAX(-CX39,MIN(0,ROUND($R39*EFBPercent+EFBAdd,2)-$Q39),MIN(0,SUM($CS39:CW39)+MIN(0,ROUND($R39*EFBPercent+EFBAdd,2)-$Q39))))</f>
        <v>0</v>
      </c>
      <c r="DG39" s="116">
        <f>MAX(-CY39,MIN(0,ROUND($R39*EFBPercent+EFBAdd,2)-$Q39),MIN(0,SUM($CS39:CX39)+MIN(0,ROUND($R39*EFBPercent+EFBAdd,2)-$Q39)))</f>
        <v>0</v>
      </c>
      <c r="DI39" s="73">
        <f t="shared" si="34"/>
        <v>112027429.95999999</v>
      </c>
      <c r="DJ39" s="73">
        <f t="shared" si="35"/>
        <v>1349776.99</v>
      </c>
      <c r="DK39" s="73">
        <f t="shared" si="36"/>
        <v>169307.05</v>
      </c>
      <c r="DL39" s="73">
        <f t="shared" si="37"/>
        <v>0</v>
      </c>
      <c r="DM39" s="73">
        <f t="shared" si="38"/>
        <v>0</v>
      </c>
      <c r="DN39" s="73">
        <f t="shared" si="39"/>
        <v>0</v>
      </c>
      <c r="DO39" s="73">
        <f t="shared" si="40"/>
        <v>0</v>
      </c>
      <c r="DP39" s="73"/>
      <c r="DQ39" s="73"/>
    </row>
    <row r="40" spans="1:121" ht="10.199999999999999" x14ac:dyDescent="0.2">
      <c r="A40" s="4" t="s">
        <v>524</v>
      </c>
      <c r="B40" s="188">
        <v>1074</v>
      </c>
      <c r="C40" s="189" t="s">
        <v>50</v>
      </c>
      <c r="D40" s="4">
        <v>2027</v>
      </c>
      <c r="E40" s="4" t="s">
        <v>367</v>
      </c>
      <c r="F40" s="4">
        <v>1</v>
      </c>
      <c r="G40" s="4" t="s">
        <v>663</v>
      </c>
      <c r="H40" s="4">
        <v>100</v>
      </c>
      <c r="I40" s="4" t="s">
        <v>853</v>
      </c>
      <c r="J40" s="5">
        <v>8176817.7400000002</v>
      </c>
      <c r="K40" s="5">
        <v>847.69</v>
      </c>
      <c r="L40" s="5">
        <v>398.54</v>
      </c>
      <c r="M40" s="5">
        <v>0</v>
      </c>
      <c r="N40" s="5">
        <v>40702318</v>
      </c>
      <c r="O40" s="5">
        <v>64.88</v>
      </c>
      <c r="P40" s="5">
        <v>148.35</v>
      </c>
      <c r="Q40" s="5">
        <v>0</v>
      </c>
      <c r="R40" s="5">
        <v>0</v>
      </c>
      <c r="S40" s="5">
        <v>6150</v>
      </c>
      <c r="T40" s="5">
        <v>0</v>
      </c>
      <c r="U40" s="5">
        <v>0</v>
      </c>
      <c r="V40" s="5">
        <v>45483.93</v>
      </c>
      <c r="W40" s="5">
        <v>6890</v>
      </c>
      <c r="X40" s="5">
        <v>46032.960000000006</v>
      </c>
      <c r="Y40" s="5">
        <v>11.46</v>
      </c>
      <c r="Z40" s="5">
        <v>58</v>
      </c>
      <c r="AA40" s="5">
        <v>427</v>
      </c>
      <c r="AB40" s="5">
        <v>139</v>
      </c>
      <c r="AC40" s="5">
        <v>267</v>
      </c>
      <c r="AD40" s="5">
        <v>0</v>
      </c>
      <c r="AE40" s="5">
        <v>0</v>
      </c>
      <c r="AF40" s="5">
        <v>0</v>
      </c>
      <c r="AG40" s="5">
        <v>0.17</v>
      </c>
      <c r="AH40" s="5">
        <v>7.6999999999999999E-2</v>
      </c>
      <c r="AI40" s="5">
        <v>0</v>
      </c>
      <c r="AJ40" s="5">
        <v>0</v>
      </c>
      <c r="AK40" s="5">
        <v>0</v>
      </c>
      <c r="AL40" s="5">
        <v>894.24</v>
      </c>
      <c r="AM40" s="5">
        <v>32.269999999999982</v>
      </c>
      <c r="AN40" s="5">
        <v>891</v>
      </c>
      <c r="AO40" s="5">
        <f t="shared" si="41"/>
        <v>3.2400000000000091</v>
      </c>
      <c r="AP40" s="5">
        <f t="shared" si="62"/>
        <v>0</v>
      </c>
      <c r="AQ40" s="5">
        <v>4.29</v>
      </c>
      <c r="AR40" s="5">
        <v>0.27</v>
      </c>
      <c r="AS40" s="5">
        <v>6078</v>
      </c>
      <c r="AT40" s="5">
        <v>148596</v>
      </c>
      <c r="AU40" s="5">
        <v>1178</v>
      </c>
      <c r="AV40" s="5">
        <v>5220</v>
      </c>
      <c r="AW40" s="5">
        <v>398.54</v>
      </c>
      <c r="AX40" s="5">
        <v>2</v>
      </c>
      <c r="AY40" s="199">
        <v>0</v>
      </c>
      <c r="AZ40" s="199">
        <v>0</v>
      </c>
      <c r="BA40" s="5">
        <v>599049.53</v>
      </c>
      <c r="BB40" s="13">
        <v>2336078.7000000002</v>
      </c>
      <c r="BC40" s="101">
        <f>MAX(ROUND(IF(F40&lt;4,IF(H40=0,(SUM(Y40:AD40)*Worksheet!$E$26+Y40*Worksheet!$E$27+AR40*Worksheet!$E$39)*-BaseRate,0)),2),MIN(0,-DI40))</f>
        <v>0</v>
      </c>
      <c r="BD40" s="101">
        <f>MAX(ROUND(IF(F40=4,0,IF(I40=0,0,ROUND(SUM(Y40:AD40)*Worksheet!$E$28,2)*-BaseRate)),2),MIN(0,-DI40-BC40))</f>
        <v>-20939.400000000001</v>
      </c>
      <c r="BE40" s="130">
        <f t="shared" si="23"/>
        <v>0</v>
      </c>
      <c r="BF40" s="130">
        <f t="shared" si="24"/>
        <v>1408</v>
      </c>
      <c r="BG40" s="73"/>
      <c r="BH40" s="118">
        <f t="shared" si="25"/>
        <v>40677.5</v>
      </c>
      <c r="BI40" s="118">
        <f t="shared" si="26"/>
        <v>9646</v>
      </c>
      <c r="BJ40" s="232">
        <f>IFERROR(ROUND(IF(AND(BB40*1.12&lt;N40*60/1000,N40/CL40&lt;STVPP*0.2),(CL40*STVPP*0.2*Worksheet!$F$88/1000-BB40*1.12)*PropTaxAdj,IF(BB40*1.12&lt;N40*60/1000,(N40*60/1000-BB40*1.12)*PropTaxAdj,0)),2),0)</f>
        <v>0</v>
      </c>
      <c r="BK40" s="116">
        <f>ROUND(IF($F40=4,0,Y40*Worksheet!$E$16),2)</f>
        <v>11.46</v>
      </c>
      <c r="BL40" s="116">
        <f>ROUND(IF($F40=4,0,Z40*Worksheet!$E$17),2)</f>
        <v>58</v>
      </c>
      <c r="BM40" s="116">
        <f>ROUND(IF($F40=4,0,AA40*Worksheet!$E$18),2)</f>
        <v>427</v>
      </c>
      <c r="BN40" s="116">
        <f>ROUND(IF($F40=4,0,AB40*Worksheet!$E$19),2)</f>
        <v>139</v>
      </c>
      <c r="BO40" s="116">
        <f>ROUND(IF($F40=4,0,AC40*Worksheet!$E$20),2)</f>
        <v>267</v>
      </c>
      <c r="BP40" s="116">
        <f>ROUND(AD40*Worksheet!$E$21,2)</f>
        <v>0</v>
      </c>
      <c r="BQ40" s="116">
        <f t="shared" si="27"/>
        <v>902.46</v>
      </c>
      <c r="BR40" s="116">
        <f>ROUND(AD40*Worksheet!$E$25,2)</f>
        <v>0</v>
      </c>
      <c r="BS40" s="116">
        <f>ROUND(SUM(BQ40)*Worksheet!$E$26,2)</f>
        <v>79.42</v>
      </c>
      <c r="BT40" s="116">
        <f>ROUND(Y40*Worksheet!$E$27,2)</f>
        <v>1.95</v>
      </c>
      <c r="BU40" s="116">
        <f>ROUND(AO40*Worksheet!$E$29,2)</f>
        <v>3.24</v>
      </c>
      <c r="BV40" s="116">
        <f>ROUND(AP40*Worksheet!$E$30,2)</f>
        <v>0</v>
      </c>
      <c r="BW40" s="116">
        <f>ROUND(IF($I40&lt;&gt;0,$BQ40*Worksheet!$E$28,0),2)</f>
        <v>1.8</v>
      </c>
      <c r="BX40" s="116">
        <f>ROUND(AE40*Worksheet!$E$31,2)</f>
        <v>0</v>
      </c>
      <c r="BY40" s="116">
        <f>ROUND(AF40*Worksheet!$E$32,2)</f>
        <v>0</v>
      </c>
      <c r="BZ40" s="116">
        <f>ROUND(AG40*Worksheet!$E$33,2)</f>
        <v>0.01</v>
      </c>
      <c r="CA40" s="116">
        <f>ROUND(ROUND(AH40*BQ40,2)*Worksheet!$E$34,2)</f>
        <v>1.74</v>
      </c>
      <c r="CB40" s="116">
        <f>ROUND(AI40*Worksheet!$E$35,2)</f>
        <v>0</v>
      </c>
      <c r="CC40" s="116">
        <f>ROUND(AJ40*Worksheet!$E$36,2)</f>
        <v>0</v>
      </c>
      <c r="CD40" s="116">
        <f>ROUND(AQ40*Worksheet!$E$38,2)</f>
        <v>2.57</v>
      </c>
      <c r="CE40" s="116">
        <f>ROUND(AR40*Worksheet!$E$39,2)</f>
        <v>0.27</v>
      </c>
      <c r="CF40" s="116">
        <f>IF(AND(L40&gt;275,SUM(Y40:AD40)&lt;100),ROUND(SUM(Y40:AD40)*Worksheet!$E$41,2),0)</f>
        <v>0</v>
      </c>
      <c r="CG40" s="116">
        <f>IF(AND(L40&gt;600,SUM(Y40:AD40)&lt;50),ROUND((50-SUM(Y40:AD40))*(Worksheet!$E$41+1),2),0)</f>
        <v>0</v>
      </c>
      <c r="CH40" s="116">
        <f t="shared" si="28"/>
        <v>993.46</v>
      </c>
      <c r="CI40" s="116">
        <f t="shared" si="43"/>
        <v>0</v>
      </c>
      <c r="CJ40" s="116">
        <f t="shared" si="44"/>
        <v>993.46</v>
      </c>
      <c r="CK40" s="95">
        <f t="shared" si="29"/>
        <v>1.0072000000000001</v>
      </c>
      <c r="CL40" s="116">
        <f t="shared" si="45"/>
        <v>1000.61</v>
      </c>
      <c r="CM40" s="116">
        <f t="shared" si="46"/>
        <v>1000.61</v>
      </c>
      <c r="CN40" s="116">
        <f t="shared" si="30"/>
        <v>11640096.130000001</v>
      </c>
      <c r="CO40" s="131">
        <f>ROUND(IF(F40=4,0,(MAX(ROUND(MAX((BI40*MIN(CL40,K40)*Worksheet!$D$126)+MAX(CL40-K40,0)*Worksheet!$F$50,SUM(J40)),2),SUM(CN40))-SUM(CN40))*MinAdj),2)</f>
        <v>0</v>
      </c>
      <c r="CP40" s="116">
        <f t="shared" si="31"/>
        <v>11640096.130000001</v>
      </c>
      <c r="CQ40" s="131">
        <f>IF(CL40=0,0,-MIN(CP40,MIN(CP40,ROUND(IF(ROUND(IF(CL40=0,0,N40/CL40),2)&lt;STVPP*0.2,STVPP*0.2*CL40*Worksheet!$F$88/1000,N40*Worksheet!$F$88/1000),2))))</f>
        <v>-2442139.08</v>
      </c>
      <c r="CR40" s="131">
        <f>-MIN(SUM(CP40,CQ40),IF($P40=0,(ROUND(Worksheet!$E$77*S40,2)+ROUND(Worksheet!$E$78*T40,2)+ROUND(Worksheet!$E$79*U40,2)+ROUND(Worksheet!$E$80*V40,2)+ROUND(Worksheet!$E$81*W40,2)+ROUND(Worksheet!$E$82*X40,2)),(ROUND(ROUND(S40*ROUND((1-$O40/$P40),4),2)*Worksheet!$E$77,2)+ROUND(ROUND(T40*ROUND((1-$O40/$P40),4),2)*Worksheet!$E$78,2)+ROUND(ROUND(U40*ROUND((1-$O40/$P40),4),2)*Worksheet!$E$79,2)+ROUND(ROUND(V40*ROUND((1-$O40/$P40),4),2)*Worksheet!$E$80,2)+ROUND(ROUND(W40*ROUND((1-$O40/$P40),4),2)*Worksheet!$E$81,2)+ROUND(ROUND(X40*ROUND((1-$O40/$P40),4),2)*Worksheet!$E$82,2))))</f>
        <v>-44125.630000000005</v>
      </c>
      <c r="CS40" s="116">
        <f t="shared" si="32"/>
        <v>9153831.4199999999</v>
      </c>
      <c r="CT40" s="116">
        <f>ROUND(MIN(BA40,ROUND((ROUND(AS40*Worksheet!$E$104,2)+ROUND(AV40*Worksheet!$E$107,2)+ROUND(AT40*Worksheet!$E$105,2)+ROUND(AW40*Worksheet!$E$108,2)+ROUND(AU40*Worksheet!$E$106,2)+ROUND(AX40*Worksheet!$E$109,2)+ROUND(AY40*Worksheet!$E$110,2)+ROUND(AZ40*Worksheet!$E$111,2))*Worksheet!$D$114,2))*BaseRate,2)</f>
        <v>246735.93</v>
      </c>
      <c r="CU40" s="121">
        <v>0</v>
      </c>
      <c r="CV40" s="121">
        <v>0</v>
      </c>
      <c r="CW40" s="121">
        <v>0</v>
      </c>
      <c r="CX40" s="121">
        <v>0</v>
      </c>
      <c r="CY40" s="121">
        <v>0</v>
      </c>
      <c r="DA40" s="116">
        <f t="shared" si="33"/>
        <v>0</v>
      </c>
      <c r="DB40" s="116">
        <f>MAX(-CT40,MIN(0,ROUND($R40*EFBPercent+EFBAdd,2)-$Q40),MIN(0,SUM($CS40:CS40)+MIN(0,ROUND($R40*EFBPercent+EFBAdd,2)-$Q40)))</f>
        <v>0</v>
      </c>
      <c r="DC40" s="192">
        <f>IF(CU40&lt;0,0,MAX(-CU40,MIN(0,ROUND($R40*EFBPercent+EFBAdd,2)-$Q40),MIN(0,SUM($CS40:CT40)+MIN(0,ROUND($R40*EFBPercent+EFBAdd,2)-$Q40))))</f>
        <v>0</v>
      </c>
      <c r="DD40" s="192">
        <f>IF(CV40&lt;0,0,MAX(-CV40,MIN(0,ROUND($R40*EFBPercent+EFBAdd,2)-$Q40),MIN(0,SUM($CS40:CU40)+MIN(0,ROUND($R40*EFBPercent+EFBAdd,2)-$Q40))))</f>
        <v>0</v>
      </c>
      <c r="DE40" s="192">
        <f>IF(CW40&lt;0,0,MAX(-CW40,MIN(0,ROUND($R40*EFBPercent+EFBAdd,2)-$Q40),MIN(0,SUM($CS40:CV40)+MIN(0,ROUND($R40*EFBPercent+EFBAdd,2)-$Q40))))</f>
        <v>0</v>
      </c>
      <c r="DF40" s="192">
        <f>IF(CX40&lt;0,0,MAX(-CX40,MIN(0,ROUND($R40*EFBPercent+EFBAdd,2)-$Q40),MIN(0,SUM($CS40:CW40)+MIN(0,ROUND($R40*EFBPercent+EFBAdd,2)-$Q40))))</f>
        <v>0</v>
      </c>
      <c r="DG40" s="116">
        <f>MAX(-CY40,MIN(0,ROUND($R40*EFBPercent+EFBAdd,2)-$Q40),MIN(0,SUM($CS40:CX40)+MIN(0,ROUND($R40*EFBPercent+EFBAdd,2)-$Q40)))</f>
        <v>0</v>
      </c>
      <c r="DI40" s="73">
        <f t="shared" si="34"/>
        <v>9153831.4199999999</v>
      </c>
      <c r="DJ40" s="73">
        <f t="shared" si="35"/>
        <v>246735.93</v>
      </c>
      <c r="DK40" s="73">
        <f t="shared" si="36"/>
        <v>0</v>
      </c>
      <c r="DL40" s="73">
        <f t="shared" si="37"/>
        <v>0</v>
      </c>
      <c r="DM40" s="73">
        <f t="shared" si="38"/>
        <v>0</v>
      </c>
      <c r="DN40" s="73">
        <f t="shared" si="39"/>
        <v>0</v>
      </c>
      <c r="DO40" s="73">
        <f t="shared" si="40"/>
        <v>0</v>
      </c>
      <c r="DP40" s="73"/>
      <c r="DQ40" s="73"/>
    </row>
    <row r="41" spans="1:121" ht="10.199999999999999" x14ac:dyDescent="0.2">
      <c r="A41" s="4" t="s">
        <v>525</v>
      </c>
      <c r="B41" s="72">
        <v>1093</v>
      </c>
      <c r="C41" s="13" t="s">
        <v>51</v>
      </c>
      <c r="D41" s="4">
        <v>2027</v>
      </c>
      <c r="E41" s="4" t="s">
        <v>368</v>
      </c>
      <c r="F41" s="4">
        <v>1</v>
      </c>
      <c r="G41" s="4" t="s">
        <v>658</v>
      </c>
      <c r="H41" s="4">
        <v>0</v>
      </c>
      <c r="I41" s="4" t="s">
        <v>853</v>
      </c>
      <c r="J41" s="5">
        <v>3566370.95</v>
      </c>
      <c r="K41" s="5">
        <v>274.87</v>
      </c>
      <c r="L41" s="5">
        <v>503.8</v>
      </c>
      <c r="M41" s="5">
        <v>0</v>
      </c>
      <c r="N41" s="5">
        <v>24968724</v>
      </c>
      <c r="O41" s="5">
        <v>0</v>
      </c>
      <c r="P41" s="5">
        <v>85</v>
      </c>
      <c r="Q41" s="5">
        <v>0</v>
      </c>
      <c r="R41" s="5">
        <v>0</v>
      </c>
      <c r="S41" s="5">
        <v>0</v>
      </c>
      <c r="T41" s="5">
        <v>0</v>
      </c>
      <c r="U41" s="5">
        <v>0</v>
      </c>
      <c r="V41" s="5">
        <v>22619.32</v>
      </c>
      <c r="W41" s="5">
        <v>1709.5900000000001</v>
      </c>
      <c r="X41" s="5">
        <v>43648.42</v>
      </c>
      <c r="Y41" s="5">
        <v>0.2</v>
      </c>
      <c r="Z41" s="5">
        <v>23</v>
      </c>
      <c r="AA41" s="5">
        <v>89</v>
      </c>
      <c r="AB41" s="5">
        <v>45</v>
      </c>
      <c r="AC41" s="5">
        <v>77</v>
      </c>
      <c r="AD41" s="5">
        <v>0</v>
      </c>
      <c r="AE41" s="5">
        <v>0</v>
      </c>
      <c r="AF41" s="5">
        <v>2</v>
      </c>
      <c r="AG41" s="5">
        <v>3</v>
      </c>
      <c r="AH41" s="5">
        <v>0.28699999999999998</v>
      </c>
      <c r="AI41" s="5">
        <v>0</v>
      </c>
      <c r="AJ41" s="5">
        <v>0</v>
      </c>
      <c r="AK41" s="5">
        <v>0</v>
      </c>
      <c r="AL41" s="5">
        <v>235.59</v>
      </c>
      <c r="AM41" s="5">
        <v>4.160000000000025</v>
      </c>
      <c r="AN41" s="5">
        <v>234</v>
      </c>
      <c r="AO41" s="5">
        <f t="shared" si="41"/>
        <v>1.5900000000000034</v>
      </c>
      <c r="AP41" s="5">
        <f t="shared" si="62"/>
        <v>0</v>
      </c>
      <c r="AQ41" s="5">
        <v>1.17</v>
      </c>
      <c r="AR41" s="5">
        <v>0</v>
      </c>
      <c r="AS41" s="5">
        <v>0</v>
      </c>
      <c r="AT41" s="5">
        <v>98940</v>
      </c>
      <c r="AU41" s="5">
        <v>0</v>
      </c>
      <c r="AV41" s="5">
        <v>2380</v>
      </c>
      <c r="AW41" s="5">
        <v>503.8</v>
      </c>
      <c r="AX41" s="5">
        <v>2</v>
      </c>
      <c r="AY41" s="199">
        <v>0</v>
      </c>
      <c r="AZ41" s="199">
        <v>0</v>
      </c>
      <c r="BA41" s="5">
        <v>270596.57</v>
      </c>
      <c r="BB41" s="13">
        <v>1461101.22</v>
      </c>
      <c r="BC41" s="101">
        <f>MAX(ROUND(IF(F41&lt;4,IF(H41=0,(SUM(Y41:AD41)*Worksheet!$E$26+Y41*Worksheet!$E$27+AR41*Worksheet!$E$39)*-BaseRate,0)),2),MIN(0,-DI41))</f>
        <v>-240147</v>
      </c>
      <c r="BD41" s="101">
        <f>MAX(ROUND(IF(F41=4,0,IF(I41=0,0,ROUND(SUM(Y41:AD41)*Worksheet!$E$28,2)*-BaseRate)),2),MIN(0,-DI41-BC41))</f>
        <v>-5467.51</v>
      </c>
      <c r="BE41" s="130">
        <f t="shared" si="23"/>
        <v>2522</v>
      </c>
      <c r="BF41" s="130">
        <f t="shared" si="24"/>
        <v>1408</v>
      </c>
      <c r="BG41" s="73"/>
      <c r="BH41" s="118">
        <f t="shared" si="25"/>
        <v>78701.14</v>
      </c>
      <c r="BI41" s="118">
        <f t="shared" si="26"/>
        <v>12974.76</v>
      </c>
      <c r="BJ41" s="232">
        <f>IFERROR(ROUND(IF(AND(BB41*1.12&lt;N41*60/1000,N41/CL41&lt;STVPP*0.2),(CL41*STVPP*0.2*Worksheet!$F$88/1000-BB41*1.12)*PropTaxAdj,IF(BB41*1.12&lt;N41*60/1000,(N41*60/1000-BB41*1.12)*PropTaxAdj,0)),2),0)</f>
        <v>0</v>
      </c>
      <c r="BK41" s="116">
        <f>ROUND(IF($F41=4,0,Y41*Worksheet!$E$16),2)</f>
        <v>0.2</v>
      </c>
      <c r="BL41" s="116">
        <f>ROUND(IF($F41=4,0,Z41*Worksheet!$E$17),2)</f>
        <v>23</v>
      </c>
      <c r="BM41" s="116">
        <f>ROUND(IF($F41=4,0,AA41*Worksheet!$E$18),2)</f>
        <v>89</v>
      </c>
      <c r="BN41" s="116">
        <f>ROUND(IF($F41=4,0,AB41*Worksheet!$E$19),2)</f>
        <v>45</v>
      </c>
      <c r="BO41" s="116">
        <f>ROUND(IF($F41=4,0,AC41*Worksheet!$E$20),2)</f>
        <v>77</v>
      </c>
      <c r="BP41" s="116">
        <f>ROUND(AD41*Worksheet!$E$21,2)</f>
        <v>0</v>
      </c>
      <c r="BQ41" s="116">
        <f t="shared" si="27"/>
        <v>234.2</v>
      </c>
      <c r="BR41" s="116">
        <f>ROUND(AD41*Worksheet!$E$25,2)</f>
        <v>0</v>
      </c>
      <c r="BS41" s="116">
        <f>ROUND(SUM(BQ41)*Worksheet!$E$26,2)</f>
        <v>20.61</v>
      </c>
      <c r="BT41" s="116">
        <f>ROUND(Y41*Worksheet!$E$27,2)</f>
        <v>0.03</v>
      </c>
      <c r="BU41" s="116">
        <f>ROUND(AO41*Worksheet!$E$29,2)</f>
        <v>1.59</v>
      </c>
      <c r="BV41" s="116">
        <f>ROUND(AP41*Worksheet!$E$30,2)</f>
        <v>0</v>
      </c>
      <c r="BW41" s="116">
        <f>ROUND(IF($I41&lt;&gt;0,$BQ41*Worksheet!$E$28,0),2)</f>
        <v>0.47</v>
      </c>
      <c r="BX41" s="116">
        <f>ROUND(AE41*Worksheet!$E$31,2)</f>
        <v>0</v>
      </c>
      <c r="BY41" s="116">
        <f>ROUND(AF41*Worksheet!$E$32,2)</f>
        <v>0.56000000000000005</v>
      </c>
      <c r="BZ41" s="116">
        <f>ROUND(AG41*Worksheet!$E$33,2)</f>
        <v>0.21</v>
      </c>
      <c r="CA41" s="116">
        <f>ROUND(ROUND(AH41*BQ41,2)*Worksheet!$E$34,2)</f>
        <v>1.68</v>
      </c>
      <c r="CB41" s="116">
        <f>ROUND(AI41*Worksheet!$E$35,2)</f>
        <v>0</v>
      </c>
      <c r="CC41" s="116">
        <f>ROUND(AJ41*Worksheet!$E$36,2)</f>
        <v>0</v>
      </c>
      <c r="CD41" s="116">
        <f>ROUND(AQ41*Worksheet!$E$38,2)</f>
        <v>0.7</v>
      </c>
      <c r="CE41" s="116">
        <f>ROUND(AR41*Worksheet!$E$39,2)</f>
        <v>0</v>
      </c>
      <c r="CF41" s="116">
        <f>IF(AND(L41&gt;275,SUM(Y41:AD41)&lt;100),ROUND(SUM(Y41:AD41)*Worksheet!$E$41,2),0)</f>
        <v>0</v>
      </c>
      <c r="CG41" s="116">
        <f>IF(AND(L41&gt;600,SUM(Y41:AD41)&lt;50),ROUND((50-SUM(Y41:AD41))*(Worksheet!$E$41+1),2),0)</f>
        <v>0</v>
      </c>
      <c r="CH41" s="116">
        <f t="shared" si="28"/>
        <v>260.05</v>
      </c>
      <c r="CI41" s="116">
        <f t="shared" si="43"/>
        <v>0</v>
      </c>
      <c r="CJ41" s="116">
        <f t="shared" si="44"/>
        <v>260.05</v>
      </c>
      <c r="CK41" s="95">
        <f t="shared" si="29"/>
        <v>1.22</v>
      </c>
      <c r="CL41" s="116">
        <f t="shared" si="45"/>
        <v>317.26</v>
      </c>
      <c r="CM41" s="116">
        <f t="shared" si="46"/>
        <v>317.26</v>
      </c>
      <c r="CN41" s="116">
        <f t="shared" si="30"/>
        <v>3690685.58</v>
      </c>
      <c r="CO41" s="131">
        <f>ROUND(IF(F41=4,0,(MAX(ROUND(MAX((BI41*MIN(CL41,K41)*Worksheet!$D$126)+MAX(CL41-K41,0)*Worksheet!$F$50,SUM(J41)),2),SUM(CN41))-SUM(CN41))*MinAdj),2)</f>
        <v>66020.55</v>
      </c>
      <c r="CP41" s="116">
        <f t="shared" si="31"/>
        <v>3756706.13</v>
      </c>
      <c r="CQ41" s="131">
        <f>IF(CL41=0,0,-MIN(CP41,MIN(CP41,ROUND(IF(ROUND(IF(CL41=0,0,N41/CL41),2)&lt;STVPP*0.2,STVPP*0.2*CL41*Worksheet!$F$88/1000,N41*Worksheet!$F$88/1000),2))))</f>
        <v>-1498123.44</v>
      </c>
      <c r="CR41" s="131">
        <f>-MIN(SUM(CP41,CQ41),IF($P41=0,(ROUND(Worksheet!$E$77*S41,2)+ROUND(Worksheet!$E$78*T41,2)+ROUND(Worksheet!$E$79*U41,2)+ROUND(Worksheet!$E$80*V41,2)+ROUND(Worksheet!$E$81*W41,2)+ROUND(Worksheet!$E$82*X41,2)),(ROUND(ROUND(S41*ROUND((1-$O41/$P41),4),2)*Worksheet!$E$77,2)+ROUND(ROUND(T41*ROUND((1-$O41/$P41),4),2)*Worksheet!$E$78,2)+ROUND(ROUND(U41*ROUND((1-$O41/$P41),4),2)*Worksheet!$E$79,2)+ROUND(ROUND(V41*ROUND((1-$O41/$P41),4),2)*Worksheet!$E$80,2)+ROUND(ROUND(W41*ROUND((1-$O41/$P41),4),2)*Worksheet!$E$81,2)+ROUND(ROUND(X41*ROUND((1-$O41/$P41),4),2)*Worksheet!$E$82,2))))</f>
        <v>-50983</v>
      </c>
      <c r="CS41" s="116">
        <f t="shared" si="32"/>
        <v>2207599.69</v>
      </c>
      <c r="CT41" s="116">
        <f>ROUND(MIN(BA41,ROUND((ROUND(AS41*Worksheet!$E$104,2)+ROUND(AV41*Worksheet!$E$107,2)+ROUND(AT41*Worksheet!$E$105,2)+ROUND(AW41*Worksheet!$E$108,2)+ROUND(AU41*Worksheet!$E$106,2)+ROUND(AX41*Worksheet!$E$109,2)+ROUND(AY41*Worksheet!$E$110,2)+ROUND(AZ41*Worksheet!$E$111,2))*Worksheet!$D$114,2))*BaseRate,2)</f>
        <v>150996.34</v>
      </c>
      <c r="CU41" s="121">
        <v>0</v>
      </c>
      <c r="CV41" s="121">
        <v>0</v>
      </c>
      <c r="CW41" s="121">
        <v>0</v>
      </c>
      <c r="CX41" s="121">
        <v>0</v>
      </c>
      <c r="CY41" s="121">
        <v>0</v>
      </c>
      <c r="DA41" s="116">
        <f t="shared" si="33"/>
        <v>0</v>
      </c>
      <c r="DB41" s="116">
        <f>MAX(-CT41,MIN(0,ROUND($R41*EFBPercent+EFBAdd,2)-$Q41),MIN(0,SUM($CS41:CS41)+MIN(0,ROUND($R41*EFBPercent+EFBAdd,2)-$Q41)))</f>
        <v>0</v>
      </c>
      <c r="DC41" s="192">
        <f>IF(CU41&lt;0,0,MAX(-CU41,MIN(0,ROUND($R41*EFBPercent+EFBAdd,2)-$Q41),MIN(0,SUM($CS41:CT41)+MIN(0,ROUND($R41*EFBPercent+EFBAdd,2)-$Q41))))</f>
        <v>0</v>
      </c>
      <c r="DD41" s="192">
        <f>IF(CV41&lt;0,0,MAX(-CV41,MIN(0,ROUND($R41*EFBPercent+EFBAdd,2)-$Q41),MIN(0,SUM($CS41:CU41)+MIN(0,ROUND($R41*EFBPercent+EFBAdd,2)-$Q41))))</f>
        <v>0</v>
      </c>
      <c r="DE41" s="192">
        <f>IF(CW41&lt;0,0,MAX(-CW41,MIN(0,ROUND($R41*EFBPercent+EFBAdd,2)-$Q41),MIN(0,SUM($CS41:CV41)+MIN(0,ROUND($R41*EFBPercent+EFBAdd,2)-$Q41))))</f>
        <v>0</v>
      </c>
      <c r="DF41" s="192">
        <f>IF(CX41&lt;0,0,MAX(-CX41,MIN(0,ROUND($R41*EFBPercent+EFBAdd,2)-$Q41),MIN(0,SUM($CS41:CW41)+MIN(0,ROUND($R41*EFBPercent+EFBAdd,2)-$Q41))))</f>
        <v>0</v>
      </c>
      <c r="DG41" s="116">
        <f>MAX(-CY41,MIN(0,ROUND($R41*EFBPercent+EFBAdd,2)-$Q41),MIN(0,SUM($CS41:CX41)+MIN(0,ROUND($R41*EFBPercent+EFBAdd,2)-$Q41)))</f>
        <v>0</v>
      </c>
      <c r="DI41" s="73">
        <f t="shared" si="34"/>
        <v>2207599.69</v>
      </c>
      <c r="DJ41" s="73">
        <f t="shared" si="35"/>
        <v>150996.34</v>
      </c>
      <c r="DK41" s="73">
        <f t="shared" si="36"/>
        <v>0</v>
      </c>
      <c r="DL41" s="73">
        <f t="shared" si="37"/>
        <v>0</v>
      </c>
      <c r="DM41" s="73">
        <f t="shared" si="38"/>
        <v>0</v>
      </c>
      <c r="DN41" s="73">
        <f t="shared" si="39"/>
        <v>0</v>
      </c>
      <c r="DO41" s="73">
        <f t="shared" si="40"/>
        <v>0</v>
      </c>
      <c r="DP41" s="73"/>
      <c r="DQ41" s="73"/>
    </row>
    <row r="42" spans="1:121" ht="9.75" customHeight="1" x14ac:dyDescent="0.2">
      <c r="A42" s="4" t="s">
        <v>526</v>
      </c>
      <c r="B42" s="72">
        <v>1170</v>
      </c>
      <c r="C42" s="13" t="s">
        <v>52</v>
      </c>
      <c r="D42" s="4">
        <v>2027</v>
      </c>
      <c r="E42" s="4" t="s">
        <v>369</v>
      </c>
      <c r="F42" s="4">
        <v>1</v>
      </c>
      <c r="G42" s="4" t="s">
        <v>665</v>
      </c>
      <c r="H42" s="4">
        <v>100</v>
      </c>
      <c r="I42" s="4" t="s">
        <v>853</v>
      </c>
      <c r="J42" s="5">
        <v>114104077.36</v>
      </c>
      <c r="K42" s="5">
        <v>11829.16</v>
      </c>
      <c r="L42" s="5">
        <v>126.75</v>
      </c>
      <c r="M42" s="5">
        <v>0</v>
      </c>
      <c r="N42" s="5">
        <v>653436389</v>
      </c>
      <c r="O42" s="5">
        <v>24.19</v>
      </c>
      <c r="P42" s="5">
        <v>129.42000000000002</v>
      </c>
      <c r="Q42" s="5">
        <v>0</v>
      </c>
      <c r="R42" s="5">
        <v>0</v>
      </c>
      <c r="S42" s="5">
        <v>46872.869999999995</v>
      </c>
      <c r="T42" s="5">
        <v>0</v>
      </c>
      <c r="U42" s="5">
        <v>0</v>
      </c>
      <c r="V42" s="5">
        <v>182846.98</v>
      </c>
      <c r="W42" s="5">
        <v>69413.25</v>
      </c>
      <c r="X42" s="5">
        <v>116722.28</v>
      </c>
      <c r="Y42" s="5">
        <v>180.21</v>
      </c>
      <c r="Z42" s="5">
        <v>1000</v>
      </c>
      <c r="AA42" s="5">
        <v>6329</v>
      </c>
      <c r="AB42" s="5">
        <v>2014</v>
      </c>
      <c r="AC42" s="5">
        <v>3778.82</v>
      </c>
      <c r="AD42" s="5">
        <v>89.179999999999993</v>
      </c>
      <c r="AE42" s="5">
        <v>160.47999999999996</v>
      </c>
      <c r="AF42" s="5">
        <v>225.54999999999995</v>
      </c>
      <c r="AG42" s="5">
        <v>389.36</v>
      </c>
      <c r="AH42" s="5">
        <v>0.29799999999999999</v>
      </c>
      <c r="AI42" s="5">
        <v>4.43</v>
      </c>
      <c r="AJ42" s="5">
        <v>9.26</v>
      </c>
      <c r="AK42" s="5">
        <v>200.53</v>
      </c>
      <c r="AL42" s="5">
        <v>13258.710000000001</v>
      </c>
      <c r="AM42" s="5">
        <v>189.43999999999869</v>
      </c>
      <c r="AN42" s="5">
        <v>13211</v>
      </c>
      <c r="AO42" s="5">
        <f t="shared" si="41"/>
        <v>47.710000000000946</v>
      </c>
      <c r="AP42" s="5">
        <f t="shared" si="62"/>
        <v>0</v>
      </c>
      <c r="AQ42" s="5">
        <v>184.36</v>
      </c>
      <c r="AR42" s="5">
        <v>9.5399999999999991</v>
      </c>
      <c r="AS42" s="5">
        <v>0</v>
      </c>
      <c r="AT42" s="5">
        <v>667872.22</v>
      </c>
      <c r="AU42" s="5">
        <v>0</v>
      </c>
      <c r="AV42" s="5">
        <v>43483</v>
      </c>
      <c r="AW42" s="5">
        <v>126.75</v>
      </c>
      <c r="AX42" s="5">
        <v>22</v>
      </c>
      <c r="AY42" s="199">
        <v>10498.88</v>
      </c>
      <c r="AZ42" s="199">
        <v>0</v>
      </c>
      <c r="BA42" s="5">
        <v>5296311.21</v>
      </c>
      <c r="BB42" s="13">
        <v>37073933.159999996</v>
      </c>
      <c r="BC42" s="101">
        <f>MAX(ROUND(IF(F42&lt;4,IF(H42=0,(SUM(Y42:AD42)*Worksheet!$E$26+Y42*Worksheet!$E$27+AR42*Worksheet!$E$39)*-BaseRate,0)),2),MIN(0,-DI42))</f>
        <v>0</v>
      </c>
      <c r="BD42" s="101">
        <f>MAX(ROUND(IF(F42=4,0,IF(I42=0,0,ROUND(SUM(Y42:AD42)*Worksheet!$E$28,2)*-BaseRate)),2),MIN(0,-DI42-BC42))</f>
        <v>-311531.74</v>
      </c>
      <c r="BE42" s="130">
        <f t="shared" si="23"/>
        <v>0</v>
      </c>
      <c r="BF42" s="130">
        <f t="shared" si="24"/>
        <v>1408</v>
      </c>
      <c r="BG42" s="73"/>
      <c r="BH42" s="118">
        <f t="shared" si="25"/>
        <v>43933.4</v>
      </c>
      <c r="BI42" s="118">
        <f t="shared" si="26"/>
        <v>9646</v>
      </c>
      <c r="BJ42" s="232">
        <f>IFERROR(ROUND(IF(AND(BB42*1.12&lt;N42*60/1000,N42/CL42&lt;STVPP*0.2),(CL42*STVPP*0.2*Worksheet!$F$88/1000-BB42*1.12)*PropTaxAdj,IF(BB42*1.12&lt;N42*60/1000,(N42*60/1000-BB42*1.12)*PropTaxAdj,0)),2),0)</f>
        <v>0</v>
      </c>
      <c r="BK42" s="116">
        <f>ROUND(IF($F42=4,0,Y42*Worksheet!$E$16),2)</f>
        <v>180.21</v>
      </c>
      <c r="BL42" s="116">
        <f>ROUND(IF($F42=4,0,Z42*Worksheet!$E$17),2)</f>
        <v>1000</v>
      </c>
      <c r="BM42" s="116">
        <f>ROUND(IF($F42=4,0,AA42*Worksheet!$E$18),2)</f>
        <v>6329</v>
      </c>
      <c r="BN42" s="116">
        <f>ROUND(IF($F42=4,0,AB42*Worksheet!$E$19),2)</f>
        <v>2014</v>
      </c>
      <c r="BO42" s="116">
        <f>ROUND(IF($F42=4,0,AC42*Worksheet!$E$20),2)</f>
        <v>3778.82</v>
      </c>
      <c r="BP42" s="116">
        <f>ROUND(AD42*Worksheet!$E$21,2)</f>
        <v>89.18</v>
      </c>
      <c r="BQ42" s="116">
        <f t="shared" si="27"/>
        <v>13391.21</v>
      </c>
      <c r="BR42" s="116">
        <f>ROUND(AD42*Worksheet!$E$25,2)</f>
        <v>22.3</v>
      </c>
      <c r="BS42" s="116">
        <f>ROUND(SUM(BQ42)*Worksheet!$E$26,2)</f>
        <v>1178.43</v>
      </c>
      <c r="BT42" s="116">
        <f>ROUND(Y42*Worksheet!$E$27,2)</f>
        <v>30.64</v>
      </c>
      <c r="BU42" s="116">
        <f>ROUND(AO42*Worksheet!$E$29,2)</f>
        <v>47.71</v>
      </c>
      <c r="BV42" s="116">
        <f>ROUND(AP42*Worksheet!$E$30,2)</f>
        <v>0</v>
      </c>
      <c r="BW42" s="116">
        <f>ROUND(IF($I42&lt;&gt;0,$BQ42*Worksheet!$E$28,0),2)</f>
        <v>26.78</v>
      </c>
      <c r="BX42" s="116">
        <f>ROUND(AE42*Worksheet!$E$31,2)</f>
        <v>64.19</v>
      </c>
      <c r="BY42" s="116">
        <f>ROUND(AF42*Worksheet!$E$32,2)</f>
        <v>63.15</v>
      </c>
      <c r="BZ42" s="116">
        <f>ROUND(AG42*Worksheet!$E$33,2)</f>
        <v>27.26</v>
      </c>
      <c r="CA42" s="116">
        <f>ROUND(ROUND(AH42*BQ42,2)*Worksheet!$E$34,2)</f>
        <v>99.76</v>
      </c>
      <c r="CB42" s="116">
        <f>ROUND(AI42*Worksheet!$E$35,2)</f>
        <v>0.89</v>
      </c>
      <c r="CC42" s="116">
        <f>ROUND(AJ42*Worksheet!$E$36,2)</f>
        <v>1.39</v>
      </c>
      <c r="CD42" s="116">
        <f>ROUND(AQ42*Worksheet!$E$38,2)</f>
        <v>110.62</v>
      </c>
      <c r="CE42" s="116">
        <f>ROUND(AR42*Worksheet!$E$39,2)</f>
        <v>9.5399999999999991</v>
      </c>
      <c r="CF42" s="116">
        <f>IF(AND(L42&gt;275,SUM(Y42:AD42)&lt;100),ROUND(SUM(Y42:AD42)*Worksheet!$E$41,2),0)</f>
        <v>0</v>
      </c>
      <c r="CG42" s="116">
        <f>IF(AND(L42&gt;600,SUM(Y42:AD42)&lt;50),ROUND((50-SUM(Y42:AD42))*(Worksheet!$E$41+1),2),0)</f>
        <v>0</v>
      </c>
      <c r="CH42" s="116">
        <f t="shared" si="28"/>
        <v>15073.869999999999</v>
      </c>
      <c r="CI42" s="116">
        <f t="shared" si="43"/>
        <v>200.53</v>
      </c>
      <c r="CJ42" s="116">
        <f t="shared" si="44"/>
        <v>14873.339999999998</v>
      </c>
      <c r="CK42" s="95">
        <f t="shared" si="29"/>
        <v>1</v>
      </c>
      <c r="CL42" s="116">
        <f t="shared" si="45"/>
        <v>14873.34</v>
      </c>
      <c r="CM42" s="116">
        <f t="shared" si="46"/>
        <v>15073.87</v>
      </c>
      <c r="CN42" s="116">
        <f t="shared" si="30"/>
        <v>175354329.71000001</v>
      </c>
      <c r="CO42" s="131">
        <f>ROUND(IF(F42=4,0,(MAX(ROUND(MAX((BI42*MIN(CL42,K42)*Worksheet!$D$126)+MAX(CL42-K42,0)*Worksheet!$F$50,SUM(J42)),2),SUM(CN42))-SUM(CN42))*MinAdj),2)</f>
        <v>0</v>
      </c>
      <c r="CP42" s="116">
        <f t="shared" si="31"/>
        <v>175354329.71000001</v>
      </c>
      <c r="CQ42" s="131">
        <f>IF(CL42=0,0,-MIN(CP42,MIN(CP42,ROUND(IF(ROUND(IF(CL42=0,0,N42/CL42),2)&lt;STVPP*0.2,STVPP*0.2*CL42*Worksheet!$F$88/1000,N42*Worksheet!$F$88/1000),2))))</f>
        <v>-39206183.340000004</v>
      </c>
      <c r="CR42" s="131">
        <f>-MIN(SUM(CP42,CQ42),IF($P42=0,(ROUND(Worksheet!$E$77*S42,2)+ROUND(Worksheet!$E$78*T42,2)+ROUND(Worksheet!$E$79*U42,2)+ROUND(Worksheet!$E$80*V42,2)+ROUND(Worksheet!$E$81*W42,2)+ROUND(Worksheet!$E$82*X42,2)),(ROUND(ROUND(S42*ROUND((1-$O42/$P42),4),2)*Worksheet!$E$77,2)+ROUND(ROUND(T42*ROUND((1-$O42/$P42),4),2)*Worksheet!$E$78,2)+ROUND(ROUND(U42*ROUND((1-$O42/$P42),4),2)*Worksheet!$E$79,2)+ROUND(ROUND(V42*ROUND((1-$O42/$P42),4),2)*Worksheet!$E$80,2)+ROUND(ROUND(W42*ROUND((1-$O42/$P42),4),2)*Worksheet!$E$81,2)+ROUND(ROUND(X42*ROUND((1-$O42/$P42),4),2)*Worksheet!$E$82,2))))</f>
        <v>-253599.01</v>
      </c>
      <c r="CS42" s="116">
        <f t="shared" si="32"/>
        <v>135894547.36000001</v>
      </c>
      <c r="CT42" s="116">
        <f>ROUND(MIN(BA42,ROUND((ROUND(AS42*Worksheet!$E$104,2)+ROUND(AV42*Worksheet!$E$107,2)+ROUND(AT42*Worksheet!$E$105,2)+ROUND(AW42*Worksheet!$E$108,2)+ROUND(AU42*Worksheet!$E$106,2)+ROUND(AX42*Worksheet!$E$109,2)+ROUND(AY42*Worksheet!$E$110,2)+ROUND(AZ42*Worksheet!$E$111,2))*Worksheet!$D$114,2))*BaseRate,2)</f>
        <v>1288936.3999999999</v>
      </c>
      <c r="CU42" s="121">
        <v>56210.03</v>
      </c>
      <c r="CV42" s="121">
        <v>0</v>
      </c>
      <c r="CW42" s="121">
        <v>0</v>
      </c>
      <c r="CX42" s="121">
        <v>0</v>
      </c>
      <c r="CY42" s="121">
        <v>0</v>
      </c>
      <c r="DA42" s="116">
        <f t="shared" si="33"/>
        <v>0</v>
      </c>
      <c r="DB42" s="116">
        <f>MAX(-CT42,MIN(0,ROUND($R42*EFBPercent+EFBAdd,2)-$Q42),MIN(0,SUM($CS42:CS42)+MIN(0,ROUND($R42*EFBPercent+EFBAdd,2)-$Q42)))</f>
        <v>0</v>
      </c>
      <c r="DC42" s="192">
        <f>IF(CU42&lt;0,0,MAX(-CU42,MIN(0,ROUND($R42*EFBPercent+EFBAdd,2)-$Q42),MIN(0,SUM($CS42:CT42)+MIN(0,ROUND($R42*EFBPercent+EFBAdd,2)-$Q42))))</f>
        <v>0</v>
      </c>
      <c r="DD42" s="192">
        <f>IF(CV42&lt;0,0,MAX(-CV42,MIN(0,ROUND($R42*EFBPercent+EFBAdd,2)-$Q42),MIN(0,SUM($CS42:CU42)+MIN(0,ROUND($R42*EFBPercent+EFBAdd,2)-$Q42))))</f>
        <v>0</v>
      </c>
      <c r="DE42" s="192">
        <f>IF(CW42&lt;0,0,MAX(-CW42,MIN(0,ROUND($R42*EFBPercent+EFBAdd,2)-$Q42),MIN(0,SUM($CS42:CV42)+MIN(0,ROUND($R42*EFBPercent+EFBAdd,2)-$Q42))))</f>
        <v>0</v>
      </c>
      <c r="DF42" s="192">
        <f>IF(CX42&lt;0,0,MAX(-CX42,MIN(0,ROUND($R42*EFBPercent+EFBAdd,2)-$Q42),MIN(0,SUM($CS42:CW42)+MIN(0,ROUND($R42*EFBPercent+EFBAdd,2)-$Q42))))</f>
        <v>0</v>
      </c>
      <c r="DG42" s="116">
        <f>MAX(-CY42,MIN(0,ROUND($R42*EFBPercent+EFBAdd,2)-$Q42),MIN(0,SUM($CS42:CX42)+MIN(0,ROUND($R42*EFBPercent+EFBAdd,2)-$Q42)))</f>
        <v>0</v>
      </c>
      <c r="DI42" s="73">
        <f t="shared" si="34"/>
        <v>135894547.36000001</v>
      </c>
      <c r="DJ42" s="73">
        <f t="shared" si="35"/>
        <v>1288936.3999999999</v>
      </c>
      <c r="DK42" s="73">
        <f t="shared" si="36"/>
        <v>56210.03</v>
      </c>
      <c r="DL42" s="73">
        <f t="shared" si="37"/>
        <v>0</v>
      </c>
      <c r="DM42" s="73">
        <f t="shared" si="38"/>
        <v>0</v>
      </c>
      <c r="DN42" s="73">
        <f t="shared" si="39"/>
        <v>0</v>
      </c>
      <c r="DO42" s="73">
        <f t="shared" si="40"/>
        <v>0</v>
      </c>
      <c r="DP42" s="73"/>
      <c r="DQ42" s="73"/>
    </row>
    <row r="43" spans="1:121" ht="10.199999999999999" x14ac:dyDescent="0.2">
      <c r="A43" s="4" t="s">
        <v>527</v>
      </c>
      <c r="B43" s="72">
        <v>1094</v>
      </c>
      <c r="C43" s="13" t="s">
        <v>53</v>
      </c>
      <c r="D43" s="4">
        <v>2027</v>
      </c>
      <c r="E43" s="4" t="s">
        <v>370</v>
      </c>
      <c r="F43" s="4">
        <v>2</v>
      </c>
      <c r="G43" s="4" t="s">
        <v>663</v>
      </c>
      <c r="H43" s="4">
        <v>100</v>
      </c>
      <c r="I43" s="4" t="s">
        <v>853</v>
      </c>
      <c r="J43" s="5">
        <v>1758103.5499999998</v>
      </c>
      <c r="K43" s="5">
        <v>147.24</v>
      </c>
      <c r="L43" s="5">
        <v>69.75</v>
      </c>
      <c r="M43" s="5">
        <v>0</v>
      </c>
      <c r="N43" s="5">
        <v>16636820</v>
      </c>
      <c r="O43" s="5">
        <v>34.74</v>
      </c>
      <c r="P43" s="5">
        <v>132.1</v>
      </c>
      <c r="Q43" s="5">
        <v>0</v>
      </c>
      <c r="R43" s="5">
        <v>0</v>
      </c>
      <c r="S43" s="5">
        <v>0</v>
      </c>
      <c r="T43" s="5">
        <v>0</v>
      </c>
      <c r="U43" s="5">
        <v>0</v>
      </c>
      <c r="V43" s="5">
        <v>6495.79</v>
      </c>
      <c r="W43" s="5">
        <v>80.09</v>
      </c>
      <c r="X43" s="5">
        <v>13422.63</v>
      </c>
      <c r="Y43" s="5">
        <v>6.28</v>
      </c>
      <c r="Z43" s="5">
        <v>22</v>
      </c>
      <c r="AA43" s="5">
        <v>180</v>
      </c>
      <c r="AB43" s="5">
        <v>0</v>
      </c>
      <c r="AC43" s="5">
        <v>0</v>
      </c>
      <c r="AD43" s="5">
        <v>0</v>
      </c>
      <c r="AE43" s="5">
        <v>0</v>
      </c>
      <c r="AF43" s="5">
        <v>0</v>
      </c>
      <c r="AG43" s="5">
        <v>0</v>
      </c>
      <c r="AH43" s="5">
        <v>0.123</v>
      </c>
      <c r="AI43" s="5">
        <v>0</v>
      </c>
      <c r="AJ43" s="5">
        <v>0</v>
      </c>
      <c r="AK43" s="5">
        <v>0</v>
      </c>
      <c r="AL43" s="5">
        <v>200.10000000000002</v>
      </c>
      <c r="AM43" s="5">
        <v>0</v>
      </c>
      <c r="AN43" s="5">
        <v>202</v>
      </c>
      <c r="AO43" s="5">
        <f t="shared" si="41"/>
        <v>0</v>
      </c>
      <c r="AP43" s="5">
        <f t="shared" si="62"/>
        <v>0</v>
      </c>
      <c r="AQ43" s="5">
        <v>0</v>
      </c>
      <c r="AR43" s="5">
        <v>0</v>
      </c>
      <c r="AS43" s="5">
        <v>0</v>
      </c>
      <c r="AT43" s="5">
        <v>19260</v>
      </c>
      <c r="AU43" s="5">
        <v>0</v>
      </c>
      <c r="AV43" s="5">
        <v>878</v>
      </c>
      <c r="AW43" s="5">
        <v>69.75</v>
      </c>
      <c r="AX43" s="5">
        <v>1</v>
      </c>
      <c r="AY43" s="199">
        <v>0</v>
      </c>
      <c r="AZ43" s="199">
        <v>0</v>
      </c>
      <c r="BA43" s="5">
        <v>42755.25</v>
      </c>
      <c r="BB43" s="13">
        <v>950229.42</v>
      </c>
      <c r="BC43" s="101">
        <f>MAX(ROUND(IF(F43&lt;4,IF(H43=0,(SUM(Y43:AD43)*Worksheet!$E$26+Y43*Worksheet!$E$27+AR43*Worksheet!$E$39)*-BaseRate,0)),2),MIN(0,-DI43))</f>
        <v>0</v>
      </c>
      <c r="BD43" s="101">
        <f>MAX(ROUND(IF(F43=4,0,IF(I43=0,0,ROUND(SUM(Y43:AD43)*Worksheet!$E$28,2)*-BaseRate)),2),MIN(0,-DI43-BC43))</f>
        <v>-4885.8599999999997</v>
      </c>
      <c r="BE43" s="130">
        <f t="shared" si="23"/>
        <v>0</v>
      </c>
      <c r="BF43" s="130">
        <f t="shared" si="24"/>
        <v>1408</v>
      </c>
      <c r="BG43" s="73"/>
      <c r="BH43" s="118">
        <f t="shared" si="25"/>
        <v>67344.639999999999</v>
      </c>
      <c r="BI43" s="118">
        <f t="shared" si="26"/>
        <v>11940.39</v>
      </c>
      <c r="BJ43" s="232">
        <f>IFERROR(ROUND(IF(AND(BB43*1.12&lt;N43*60/1000,N43/CL43&lt;STVPP*0.2),(CL43*STVPP*0.2*Worksheet!$F$88/1000-BB43*1.12)*PropTaxAdj,IF(BB43*1.12&lt;N43*60/1000,(N43*60/1000-BB43*1.12)*PropTaxAdj,0)),2),0)</f>
        <v>0</v>
      </c>
      <c r="BK43" s="116">
        <f>ROUND(IF($F43=4,0,Y43*Worksheet!$E$16),2)</f>
        <v>6.28</v>
      </c>
      <c r="BL43" s="116">
        <f>ROUND(IF($F43=4,0,Z43*Worksheet!$E$17),2)</f>
        <v>22</v>
      </c>
      <c r="BM43" s="116">
        <f>ROUND(IF($F43=4,0,AA43*Worksheet!$E$18),2)</f>
        <v>180</v>
      </c>
      <c r="BN43" s="116">
        <f>ROUND(IF($F43=4,0,AB43*Worksheet!$E$19),2)</f>
        <v>0</v>
      </c>
      <c r="BO43" s="116">
        <f>ROUND(IF($F43=4,0,AC43*Worksheet!$E$20),2)</f>
        <v>0</v>
      </c>
      <c r="BP43" s="116">
        <f>ROUND(AD43*Worksheet!$E$21,2)</f>
        <v>0</v>
      </c>
      <c r="BQ43" s="116">
        <f t="shared" si="27"/>
        <v>208.28</v>
      </c>
      <c r="BR43" s="116">
        <f>ROUND(AD43*Worksheet!$E$25,2)</f>
        <v>0</v>
      </c>
      <c r="BS43" s="116">
        <f>ROUND(SUM(BQ43)*Worksheet!$E$26,2)</f>
        <v>18.329999999999998</v>
      </c>
      <c r="BT43" s="116">
        <f>ROUND(Y43*Worksheet!$E$27,2)</f>
        <v>1.07</v>
      </c>
      <c r="BU43" s="116">
        <f>ROUND(AO43*Worksheet!$E$29,2)</f>
        <v>0</v>
      </c>
      <c r="BV43" s="116">
        <f>ROUND(AP43*Worksheet!$E$30,2)</f>
        <v>0</v>
      </c>
      <c r="BW43" s="116">
        <f>ROUND(IF($I43&lt;&gt;0,$BQ43*Worksheet!$E$28,0),2)</f>
        <v>0.42</v>
      </c>
      <c r="BX43" s="116">
        <f>ROUND(AE43*Worksheet!$E$31,2)</f>
        <v>0</v>
      </c>
      <c r="BY43" s="116">
        <f>ROUND(AF43*Worksheet!$E$32,2)</f>
        <v>0</v>
      </c>
      <c r="BZ43" s="116">
        <f>ROUND(AG43*Worksheet!$E$33,2)</f>
        <v>0</v>
      </c>
      <c r="CA43" s="116">
        <f>ROUND(ROUND(AH43*BQ43,2)*Worksheet!$E$34,2)</f>
        <v>0.64</v>
      </c>
      <c r="CB43" s="116">
        <f>ROUND(AI43*Worksheet!$E$35,2)</f>
        <v>0</v>
      </c>
      <c r="CC43" s="116">
        <f>ROUND(AJ43*Worksheet!$E$36,2)</f>
        <v>0</v>
      </c>
      <c r="CD43" s="116">
        <f>ROUND(AQ43*Worksheet!$E$38,2)</f>
        <v>0</v>
      </c>
      <c r="CE43" s="116">
        <f>ROUND(AR43*Worksheet!$E$39,2)</f>
        <v>0</v>
      </c>
      <c r="CF43" s="116">
        <f>IF(AND(L43&gt;275,SUM(Y43:AD43)&lt;100),ROUND(SUM(Y43:AD43)*Worksheet!$E$41,2),0)</f>
        <v>0</v>
      </c>
      <c r="CG43" s="116">
        <f>IF(AND(L43&gt;600,SUM(Y43:AD43)&lt;50),ROUND((50-SUM(Y43:AD43))*(Worksheet!$E$41+1),2),0)</f>
        <v>0</v>
      </c>
      <c r="CH43" s="116">
        <f t="shared" si="28"/>
        <v>228.73999999999998</v>
      </c>
      <c r="CI43" s="116">
        <f t="shared" si="43"/>
        <v>0</v>
      </c>
      <c r="CJ43" s="116">
        <f t="shared" si="44"/>
        <v>228.73999999999998</v>
      </c>
      <c r="CK43" s="95">
        <f t="shared" si="29"/>
        <v>1.08</v>
      </c>
      <c r="CL43" s="116">
        <f t="shared" si="45"/>
        <v>247.04</v>
      </c>
      <c r="CM43" s="116">
        <f t="shared" si="46"/>
        <v>247.04</v>
      </c>
      <c r="CN43" s="116">
        <f t="shared" si="30"/>
        <v>2873816.32</v>
      </c>
      <c r="CO43" s="131">
        <f>ROUND(IF(F43=4,0,(MAX(ROUND(MAX((BI43*MIN(CL43,K43)*Worksheet!$D$126)+MAX(CL43-K43,0)*Worksheet!$F$50,SUM(J43)),2),SUM(CN43))-SUM(CN43))*MinAdj),2)</f>
        <v>12063.32</v>
      </c>
      <c r="CP43" s="116">
        <f t="shared" si="31"/>
        <v>2885879.6399999997</v>
      </c>
      <c r="CQ43" s="131">
        <f>IF(CL43=0,0,-MIN(CP43,MIN(CP43,ROUND(IF(ROUND(IF(CL43=0,0,N43/CL43),2)&lt;STVPP*0.2,STVPP*0.2*CL43*Worksheet!$F$88/1000,N43*Worksheet!$F$88/1000),2))))</f>
        <v>-998209.2</v>
      </c>
      <c r="CR43" s="131">
        <f>-MIN(SUM(CP43,CQ43),IF($P43=0,(ROUND(Worksheet!$E$77*S43,2)+ROUND(Worksheet!$E$78*T43,2)+ROUND(Worksheet!$E$79*U43,2)+ROUND(Worksheet!$E$80*V43,2)+ROUND(Worksheet!$E$81*W43,2)+ROUND(Worksheet!$E$82*X43,2)),(ROUND(ROUND(S43*ROUND((1-$O43/$P43),4),2)*Worksheet!$E$77,2)+ROUND(ROUND(T43*ROUND((1-$O43/$P43),4),2)*Worksheet!$E$78,2)+ROUND(ROUND(U43*ROUND((1-$O43/$P43),4),2)*Worksheet!$E$79,2)+ROUND(ROUND(V43*ROUND((1-$O43/$P43),4),2)*Worksheet!$E$80,2)+ROUND(ROUND(W43*ROUND((1-$O43/$P43),4),2)*Worksheet!$E$81,2)+ROUND(ROUND(X43*ROUND((1-$O43/$P43),4),2)*Worksheet!$E$82,2))))</f>
        <v>-11054.18</v>
      </c>
      <c r="CS43" s="116">
        <f t="shared" si="32"/>
        <v>1876616.2599999998</v>
      </c>
      <c r="CT43" s="116">
        <f>ROUND(MIN(BA43,ROUND((ROUND(AS43*Worksheet!$E$104,2)+ROUND(AV43*Worksheet!$E$107,2)+ROUND(AT43*Worksheet!$E$105,2)+ROUND(AW43*Worksheet!$E$108,2)+ROUND(AU43*Worksheet!$E$106,2)+ROUND(AX43*Worksheet!$E$109,2)+ROUND(AY43*Worksheet!$E$110,2)+ROUND(AZ43*Worksheet!$E$111,2))*Worksheet!$D$114,2))*BaseRate,2)</f>
        <v>34782.67</v>
      </c>
      <c r="CU43" s="121">
        <v>0</v>
      </c>
      <c r="CV43" s="121">
        <v>0</v>
      </c>
      <c r="CW43" s="121">
        <v>0</v>
      </c>
      <c r="CX43" s="121">
        <v>0</v>
      </c>
      <c r="CY43" s="121">
        <v>0</v>
      </c>
      <c r="DA43" s="116">
        <f t="shared" si="33"/>
        <v>0</v>
      </c>
      <c r="DB43" s="116">
        <f>MAX(-CT43,MIN(0,ROUND($R43*EFBPercent+EFBAdd,2)-$Q43),MIN(0,SUM($CS43:CS43)+MIN(0,ROUND($R43*EFBPercent+EFBAdd,2)-$Q43)))</f>
        <v>0</v>
      </c>
      <c r="DC43" s="192">
        <f>IF(CU43&lt;0,0,MAX(-CU43,MIN(0,ROUND($R43*EFBPercent+EFBAdd,2)-$Q43),MIN(0,SUM($CS43:CT43)+MIN(0,ROUND($R43*EFBPercent+EFBAdd,2)-$Q43))))</f>
        <v>0</v>
      </c>
      <c r="DD43" s="192">
        <f>IF(CV43&lt;0,0,MAX(-CV43,MIN(0,ROUND($R43*EFBPercent+EFBAdd,2)-$Q43),MIN(0,SUM($CS43:CU43)+MIN(0,ROUND($R43*EFBPercent+EFBAdd,2)-$Q43))))</f>
        <v>0</v>
      </c>
      <c r="DE43" s="192">
        <f>IF(CW43&lt;0,0,MAX(-CW43,MIN(0,ROUND($R43*EFBPercent+EFBAdd,2)-$Q43),MIN(0,SUM($CS43:CV43)+MIN(0,ROUND($R43*EFBPercent+EFBAdd,2)-$Q43))))</f>
        <v>0</v>
      </c>
      <c r="DF43" s="192">
        <f>IF(CX43&lt;0,0,MAX(-CX43,MIN(0,ROUND($R43*EFBPercent+EFBAdd,2)-$Q43),MIN(0,SUM($CS43:CW43)+MIN(0,ROUND($R43*EFBPercent+EFBAdd,2)-$Q43))))</f>
        <v>0</v>
      </c>
      <c r="DG43" s="116">
        <f>MAX(-CY43,MIN(0,ROUND($R43*EFBPercent+EFBAdd,2)-$Q43),MIN(0,SUM($CS43:CX43)+MIN(0,ROUND($R43*EFBPercent+EFBAdd,2)-$Q43)))</f>
        <v>0</v>
      </c>
      <c r="DI43" s="73">
        <f t="shared" si="34"/>
        <v>1876616.2599999998</v>
      </c>
      <c r="DJ43" s="73">
        <f t="shared" si="35"/>
        <v>34782.67</v>
      </c>
      <c r="DK43" s="73">
        <f t="shared" si="36"/>
        <v>0</v>
      </c>
      <c r="DL43" s="73">
        <f t="shared" si="37"/>
        <v>0</v>
      </c>
      <c r="DM43" s="73">
        <f t="shared" si="38"/>
        <v>0</v>
      </c>
      <c r="DN43" s="73">
        <f t="shared" si="39"/>
        <v>0</v>
      </c>
      <c r="DO43" s="73">
        <f t="shared" si="40"/>
        <v>0</v>
      </c>
      <c r="DP43" s="73"/>
      <c r="DQ43" s="73"/>
    </row>
    <row r="44" spans="1:121" ht="10.199999999999999" x14ac:dyDescent="0.2">
      <c r="A44" s="4" t="s">
        <v>528</v>
      </c>
      <c r="B44" s="188">
        <v>1021</v>
      </c>
      <c r="C44" s="189" t="s">
        <v>54</v>
      </c>
      <c r="D44" s="4">
        <v>2027</v>
      </c>
      <c r="E44" s="4" t="s">
        <v>371</v>
      </c>
      <c r="F44" s="4">
        <v>1</v>
      </c>
      <c r="G44" s="4" t="s">
        <v>663</v>
      </c>
      <c r="H44" s="4">
        <v>100</v>
      </c>
      <c r="I44" s="4" t="s">
        <v>853</v>
      </c>
      <c r="J44" s="199">
        <v>9568156.7699999996</v>
      </c>
      <c r="K44" s="199">
        <v>991.93</v>
      </c>
      <c r="L44" s="199">
        <v>392</v>
      </c>
      <c r="M44" s="199">
        <v>0</v>
      </c>
      <c r="N44" s="5">
        <v>46449568</v>
      </c>
      <c r="O44" s="5">
        <v>26.73</v>
      </c>
      <c r="P44" s="5">
        <v>113.63000000000001</v>
      </c>
      <c r="Q44" s="199">
        <v>0</v>
      </c>
      <c r="R44" s="199">
        <v>0</v>
      </c>
      <c r="S44" s="5">
        <v>204092.46</v>
      </c>
      <c r="T44" s="5">
        <v>0</v>
      </c>
      <c r="U44" s="5">
        <v>0</v>
      </c>
      <c r="V44" s="5">
        <v>30263.69</v>
      </c>
      <c r="W44" s="5">
        <v>1470.58</v>
      </c>
      <c r="X44" s="5">
        <v>99751.67</v>
      </c>
      <c r="Y44" s="5">
        <v>12.33</v>
      </c>
      <c r="Z44" s="5">
        <v>59</v>
      </c>
      <c r="AA44" s="5">
        <v>422</v>
      </c>
      <c r="AB44" s="5">
        <v>191</v>
      </c>
      <c r="AC44" s="5">
        <v>345</v>
      </c>
      <c r="AD44" s="5">
        <v>0</v>
      </c>
      <c r="AE44" s="5">
        <v>0</v>
      </c>
      <c r="AF44" s="5">
        <v>0</v>
      </c>
      <c r="AG44" s="5">
        <v>0</v>
      </c>
      <c r="AH44" s="5">
        <v>0.14399999999999999</v>
      </c>
      <c r="AI44" s="5">
        <v>0</v>
      </c>
      <c r="AJ44" s="5">
        <v>0</v>
      </c>
      <c r="AK44" s="5">
        <v>0</v>
      </c>
      <c r="AL44" s="5">
        <v>1022.85</v>
      </c>
      <c r="AM44" s="5">
        <v>19.970000000000027</v>
      </c>
      <c r="AN44" s="5">
        <v>1017</v>
      </c>
      <c r="AO44" s="5">
        <f t="shared" si="41"/>
        <v>5.8500000000000227</v>
      </c>
      <c r="AP44" s="5">
        <f t="shared" si="62"/>
        <v>0</v>
      </c>
      <c r="AQ44" s="5">
        <v>12.35</v>
      </c>
      <c r="AR44" s="5">
        <v>0.28000000000000003</v>
      </c>
      <c r="AS44" s="5">
        <v>24444</v>
      </c>
      <c r="AT44" s="5">
        <v>121800</v>
      </c>
      <c r="AU44" s="5">
        <v>1298</v>
      </c>
      <c r="AV44" s="5">
        <v>3150</v>
      </c>
      <c r="AW44" s="5">
        <v>392</v>
      </c>
      <c r="AX44" s="5">
        <v>1</v>
      </c>
      <c r="AY44" s="199">
        <v>0</v>
      </c>
      <c r="AZ44" s="199">
        <v>0</v>
      </c>
      <c r="BA44" s="5">
        <v>623895.42000000004</v>
      </c>
      <c r="BB44" s="13">
        <v>2694210.42</v>
      </c>
      <c r="BC44" s="190">
        <f>MAX(ROUND(IF(F44&lt;4,IF(H44=0,(SUM(Y44:AD44)*Worksheet!$E$26+Y44*Worksheet!$E$27+AR44*Worksheet!$E$39)*-BaseRate,0)),2),MIN(0,-DI44))</f>
        <v>0</v>
      </c>
      <c r="BD44" s="190">
        <f>MAX(ROUND(IF(F44=4,0,IF(I44=0,0,ROUND(SUM(Y44:AD44)*Worksheet!$E$28,2)*-BaseRate)),2),MIN(0,-DI44-BC44))</f>
        <v>-23963.98</v>
      </c>
      <c r="BE44" s="130">
        <f t="shared" si="23"/>
        <v>0</v>
      </c>
      <c r="BF44" s="130">
        <f t="shared" si="24"/>
        <v>1408</v>
      </c>
      <c r="BG44" s="73"/>
      <c r="BH44" s="191">
        <f t="shared" si="25"/>
        <v>40698.11</v>
      </c>
      <c r="BI44" s="191">
        <f t="shared" si="26"/>
        <v>9646</v>
      </c>
      <c r="BJ44" s="232">
        <f>IFERROR(ROUND(IF(AND(BB44*1.12&lt;N44*60/1000,N44/CL44&lt;STVPP*0.2),(CL44*STVPP*0.2*Worksheet!$F$88/1000-BB44*1.12)*PropTaxAdj,IF(BB44*1.12&lt;N44*60/1000,(N44*60/1000-BB44*1.12)*PropTaxAdj,0)),2),0)</f>
        <v>0</v>
      </c>
      <c r="BK44" s="192">
        <f>ROUND(IF($F44=4,0,Y44*Worksheet!$E$16),2)</f>
        <v>12.33</v>
      </c>
      <c r="BL44" s="192">
        <f>ROUND(IF($F44=4,0,Z44*Worksheet!$E$17),2)</f>
        <v>59</v>
      </c>
      <c r="BM44" s="192">
        <f>ROUND(IF($F44=4,0,AA44*Worksheet!$E$18),2)</f>
        <v>422</v>
      </c>
      <c r="BN44" s="192">
        <f>ROUND(IF($F44=4,0,AB44*Worksheet!$E$19),2)</f>
        <v>191</v>
      </c>
      <c r="BO44" s="192">
        <f>ROUND(IF($F44=4,0,AC44*Worksheet!$E$20),2)</f>
        <v>345</v>
      </c>
      <c r="BP44" s="192">
        <f>ROUND(AD44*Worksheet!$E$21,2)</f>
        <v>0</v>
      </c>
      <c r="BQ44" s="192">
        <f t="shared" si="27"/>
        <v>1029.33</v>
      </c>
      <c r="BR44" s="192">
        <f>ROUND(AD44*Worksheet!$E$25,2)</f>
        <v>0</v>
      </c>
      <c r="BS44" s="192">
        <f>ROUND(SUM(BQ44)*Worksheet!$E$26,2)</f>
        <v>90.58</v>
      </c>
      <c r="BT44" s="192">
        <f>ROUND(Y44*Worksheet!$E$27,2)</f>
        <v>2.1</v>
      </c>
      <c r="BU44" s="192">
        <f>ROUND(AO44*Worksheet!$E$29,2)</f>
        <v>5.85</v>
      </c>
      <c r="BV44" s="192">
        <f>ROUND(AP44*Worksheet!$E$30,2)</f>
        <v>0</v>
      </c>
      <c r="BW44" s="192">
        <f>ROUND(IF($I44&lt;&gt;0,$BQ44*Worksheet!$E$28,0),2)</f>
        <v>2.06</v>
      </c>
      <c r="BX44" s="192">
        <f>ROUND(AE44*Worksheet!$E$31,2)</f>
        <v>0</v>
      </c>
      <c r="BY44" s="192">
        <f>ROUND(AF44*Worksheet!$E$32,2)</f>
        <v>0</v>
      </c>
      <c r="BZ44" s="192">
        <f>ROUND(AG44*Worksheet!$E$33,2)</f>
        <v>0</v>
      </c>
      <c r="CA44" s="192">
        <f>ROUND(ROUND(AH44*BQ44,2)*Worksheet!$E$34,2)</f>
        <v>3.71</v>
      </c>
      <c r="CB44" s="192">
        <f>ROUND(AI44*Worksheet!$E$35,2)</f>
        <v>0</v>
      </c>
      <c r="CC44" s="192">
        <f>ROUND(AJ44*Worksheet!$E$36,2)</f>
        <v>0</v>
      </c>
      <c r="CD44" s="192">
        <f>ROUND(AQ44*Worksheet!$E$38,2)</f>
        <v>7.41</v>
      </c>
      <c r="CE44" s="192">
        <f>ROUND(AR44*Worksheet!$E$39,2)</f>
        <v>0.28000000000000003</v>
      </c>
      <c r="CF44" s="192">
        <f>IF(AND(L44&gt;275,SUM(Y44:AD44)&lt;100),ROUND(SUM(Y44:AD44)*Worksheet!$E$41,2),0)</f>
        <v>0</v>
      </c>
      <c r="CG44" s="192">
        <f>IF(AND(L44&gt;600,SUM(Y44:AD44)&lt;50),ROUND((50-SUM(Y44:AD44))*(Worksheet!$E$41+1),2),0)</f>
        <v>0</v>
      </c>
      <c r="CH44" s="192">
        <f t="shared" si="28"/>
        <v>1141.3199999999997</v>
      </c>
      <c r="CI44" s="192">
        <f t="shared" si="43"/>
        <v>0</v>
      </c>
      <c r="CJ44" s="192">
        <f t="shared" si="44"/>
        <v>1141.3199999999997</v>
      </c>
      <c r="CK44" s="242">
        <f t="shared" si="29"/>
        <v>1</v>
      </c>
      <c r="CL44" s="192">
        <f t="shared" si="45"/>
        <v>1141.32</v>
      </c>
      <c r="CM44" s="192">
        <f t="shared" si="46"/>
        <v>1141.32</v>
      </c>
      <c r="CN44" s="192">
        <f t="shared" si="30"/>
        <v>13276975.560000001</v>
      </c>
      <c r="CO44" s="193">
        <f>ROUND(IF(F44=4,0,(MAX(ROUND(MAX((BI44*MIN(CL44,K44)*Worksheet!$D$126)+MAX(CL44-K44,0)*Worksheet!$F$50,SUM(J44)),2),SUM(CN44))-SUM(CN44))*MinAdj),2)</f>
        <v>0</v>
      </c>
      <c r="CP44" s="192">
        <f t="shared" si="31"/>
        <v>13276975.560000001</v>
      </c>
      <c r="CQ44" s="131">
        <f>IF(CL44=0,0,-MIN(CP44,MIN(CP44,ROUND(IF(ROUND(IF(CL44=0,0,N44/CL44),2)&lt;STVPP*0.2,STVPP*0.2*CL44*Worksheet!$F$88/1000,N44*Worksheet!$F$88/1000),2))))</f>
        <v>-2786974.08</v>
      </c>
      <c r="CR44" s="193">
        <f>-MIN(SUM(CP44,CQ44),IF($P44=0,(ROUND(Worksheet!$E$77*S44,2)+ROUND(Worksheet!$E$78*T44,2)+ROUND(Worksheet!$E$79*U44,2)+ROUND(Worksheet!$E$80*V44,2)+ROUND(Worksheet!$E$81*W44,2)+ROUND(Worksheet!$E$82*X44,2)),(ROUND(ROUND(S44*ROUND((1-$O44/$P44),4),2)*Worksheet!$E$77,2)+ROUND(ROUND(T44*ROUND((1-$O44/$P44),4),2)*Worksheet!$E$78,2)+ROUND(ROUND(U44*ROUND((1-$O44/$P44),4),2)*Worksheet!$E$79,2)+ROUND(ROUND(V44*ROUND((1-$O44/$P44),4),2)*Worksheet!$E$80,2)+ROUND(ROUND(W44*ROUND((1-$O44/$P44),4),2)*Worksheet!$E$81,2)+ROUND(ROUND(X44*ROUND((1-$O44/$P44),4),2)*Worksheet!$E$82,2))))</f>
        <v>-192487.77</v>
      </c>
      <c r="CS44" s="192">
        <f t="shared" si="32"/>
        <v>10297513.710000001</v>
      </c>
      <c r="CT44" s="116">
        <f>ROUND(MIN(BA44,ROUND((ROUND(AS44*Worksheet!$E$104,2)+ROUND(AV44*Worksheet!$E$107,2)+ROUND(AT44*Worksheet!$E$105,2)+ROUND(AW44*Worksheet!$E$108,2)+ROUND(AU44*Worksheet!$E$106,2)+ROUND(AX44*Worksheet!$E$109,2)+ROUND(AY44*Worksheet!$E$110,2)+ROUND(AZ44*Worksheet!$E$111,2))*Worksheet!$D$114,2))*BaseRate,2)</f>
        <v>202181.54</v>
      </c>
      <c r="CU44" s="121">
        <v>0</v>
      </c>
      <c r="CV44" s="121">
        <v>0</v>
      </c>
      <c r="CW44" s="121">
        <v>0</v>
      </c>
      <c r="CX44" s="121">
        <v>0</v>
      </c>
      <c r="CY44" s="121">
        <v>0</v>
      </c>
      <c r="DA44" s="192">
        <f t="shared" si="33"/>
        <v>0</v>
      </c>
      <c r="DB44" s="192">
        <f>MAX(-CT44,MIN(0,ROUND($R44*EFBPercent+EFBAdd,2)-$Q44),MIN(0,SUM($CS44:CS44)+MIN(0,ROUND($R44*EFBPercent+EFBAdd,2)-$Q44)))</f>
        <v>0</v>
      </c>
      <c r="DC44" s="192">
        <f>IF(CU44&lt;0,0,MAX(-CU44,MIN(0,ROUND($R44*EFBPercent+EFBAdd,2)-$Q44),MIN(0,SUM($CS44:CT44)+MIN(0,ROUND($R44*EFBPercent+EFBAdd,2)-$Q44))))</f>
        <v>0</v>
      </c>
      <c r="DD44" s="192">
        <f>IF(CV44&lt;0,0,MAX(-CV44,MIN(0,ROUND($R44*EFBPercent+EFBAdd,2)-$Q44),MIN(0,SUM($CS44:CU44)+MIN(0,ROUND($R44*EFBPercent+EFBAdd,2)-$Q44))))</f>
        <v>0</v>
      </c>
      <c r="DE44" s="192">
        <f>IF(CW44&lt;0,0,MAX(-CW44,MIN(0,ROUND($R44*EFBPercent+EFBAdd,2)-$Q44),MIN(0,SUM($CS44:CV44)+MIN(0,ROUND($R44*EFBPercent+EFBAdd,2)-$Q44))))</f>
        <v>0</v>
      </c>
      <c r="DF44" s="192">
        <f>IF(CX44&lt;0,0,MAX(-CX44,MIN(0,ROUND($R44*EFBPercent+EFBAdd,2)-$Q44),MIN(0,SUM($CS44:CW44)+MIN(0,ROUND($R44*EFBPercent+EFBAdd,2)-$Q44))))</f>
        <v>0</v>
      </c>
      <c r="DG44" s="192">
        <f>MAX(-CY44,MIN(0,ROUND($R44*EFBPercent+EFBAdd,2)-$Q44),MIN(0,SUM($CS44:CX44)+MIN(0,ROUND($R44*EFBPercent+EFBAdd,2)-$Q44)))</f>
        <v>0</v>
      </c>
      <c r="DI44" s="73">
        <f t="shared" si="34"/>
        <v>10297513.710000001</v>
      </c>
      <c r="DJ44" s="73">
        <f t="shared" si="35"/>
        <v>202181.54</v>
      </c>
      <c r="DK44" s="73">
        <f t="shared" si="36"/>
        <v>0</v>
      </c>
      <c r="DL44" s="73">
        <f t="shared" si="37"/>
        <v>0</v>
      </c>
      <c r="DM44" s="73">
        <f t="shared" si="38"/>
        <v>0</v>
      </c>
      <c r="DN44" s="73">
        <f t="shared" si="39"/>
        <v>0</v>
      </c>
      <c r="DO44" s="73">
        <f t="shared" si="40"/>
        <v>0</v>
      </c>
      <c r="DP44" s="73"/>
      <c r="DQ44" s="73"/>
    </row>
    <row r="45" spans="1:121" s="214" customFormat="1" ht="10.199999999999999" x14ac:dyDescent="0.2">
      <c r="A45" s="4" t="s">
        <v>1107</v>
      </c>
      <c r="B45" s="188">
        <v>1183</v>
      </c>
      <c r="C45" s="189" t="s">
        <v>1118</v>
      </c>
      <c r="D45" s="4">
        <v>2027</v>
      </c>
      <c r="E45" s="4" t="s">
        <v>1108</v>
      </c>
      <c r="F45" s="4">
        <v>1</v>
      </c>
      <c r="G45" s="4" t="s">
        <v>658</v>
      </c>
      <c r="H45" s="4">
        <v>0</v>
      </c>
      <c r="I45" s="4" t="s">
        <v>854</v>
      </c>
      <c r="J45" s="5">
        <v>3651792.0199999996</v>
      </c>
      <c r="K45" s="5">
        <v>225.81</v>
      </c>
      <c r="L45" s="5">
        <v>490.32</v>
      </c>
      <c r="M45" s="5">
        <v>1</v>
      </c>
      <c r="N45" s="5">
        <v>23928140</v>
      </c>
      <c r="O45" s="5">
        <v>0</v>
      </c>
      <c r="P45" s="5">
        <v>84</v>
      </c>
      <c r="Q45" s="5">
        <v>0</v>
      </c>
      <c r="R45" s="5">
        <v>0</v>
      </c>
      <c r="S45" s="5">
        <v>0</v>
      </c>
      <c r="T45" s="5">
        <v>0</v>
      </c>
      <c r="U45" s="5">
        <v>0</v>
      </c>
      <c r="V45" s="5">
        <v>39964.050000000003</v>
      </c>
      <c r="W45" s="5">
        <v>5233.1000000000004</v>
      </c>
      <c r="X45" s="5">
        <v>24660.370000000003</v>
      </c>
      <c r="Y45" s="5">
        <v>0.09</v>
      </c>
      <c r="Z45" s="5">
        <v>11</v>
      </c>
      <c r="AA45" s="5">
        <v>80</v>
      </c>
      <c r="AB45" s="5">
        <v>31</v>
      </c>
      <c r="AC45" s="5">
        <v>45</v>
      </c>
      <c r="AD45" s="5">
        <v>0</v>
      </c>
      <c r="AE45" s="5">
        <v>0</v>
      </c>
      <c r="AF45" s="5">
        <v>0</v>
      </c>
      <c r="AG45" s="5">
        <v>0</v>
      </c>
      <c r="AH45" s="5">
        <v>0.25</v>
      </c>
      <c r="AI45" s="5">
        <v>0</v>
      </c>
      <c r="AJ45" s="5">
        <v>0</v>
      </c>
      <c r="AK45" s="5">
        <v>0</v>
      </c>
      <c r="AL45" s="5">
        <v>167.67000000000002</v>
      </c>
      <c r="AM45" s="5">
        <v>12.669999999999987</v>
      </c>
      <c r="AN45" s="5">
        <v>167</v>
      </c>
      <c r="AO45" s="5">
        <f t="shared" si="41"/>
        <v>0.67000000000001592</v>
      </c>
      <c r="AP45" s="5">
        <f t="shared" si="62"/>
        <v>0</v>
      </c>
      <c r="AQ45" s="5">
        <v>0.88</v>
      </c>
      <c r="AR45" s="5">
        <v>0</v>
      </c>
      <c r="AS45" s="5">
        <v>0</v>
      </c>
      <c r="AT45" s="5">
        <v>99522</v>
      </c>
      <c r="AU45" s="5">
        <v>0</v>
      </c>
      <c r="AV45" s="5">
        <v>3420</v>
      </c>
      <c r="AW45" s="5">
        <v>490.32</v>
      </c>
      <c r="AX45" s="5">
        <v>2</v>
      </c>
      <c r="AY45" s="199">
        <v>0</v>
      </c>
      <c r="AZ45" s="199">
        <v>0</v>
      </c>
      <c r="BA45" s="5">
        <v>302816.77</v>
      </c>
      <c r="BB45" s="13">
        <v>1398985.62</v>
      </c>
      <c r="BC45" s="208">
        <f>MAX(ROUND(IF(F45&lt;4,IF(H45=0,(SUM(Y45:AD45)*Worksheet!$E$26+Y45*Worksheet!$E$27+AR45*Worksheet!$E$39)*-BaseRate,0)),2),MIN(0,-DI45))</f>
        <v>-171228.69</v>
      </c>
      <c r="BD45" s="208">
        <f>MAX(ROUND(IF(F45=4,0,IF(I45=0,0,ROUND(SUM(Y45:AD45)*Worksheet!$E$28,2)*-BaseRate)),2),MIN(0,-DI45-BC45))</f>
        <v>-3838.89</v>
      </c>
      <c r="BE45" s="209">
        <f t="shared" si="23"/>
        <v>2522</v>
      </c>
      <c r="BF45" s="209">
        <f t="shared" si="24"/>
        <v>1406</v>
      </c>
      <c r="BG45" s="210"/>
      <c r="BH45" s="211">
        <f t="shared" si="25"/>
        <v>77711.47</v>
      </c>
      <c r="BI45" s="211">
        <f t="shared" si="26"/>
        <v>16171.97</v>
      </c>
      <c r="BJ45" s="232">
        <f>IFERROR(ROUND(IF(AND(BB45*1.12&lt;N45*60/1000,N45/CL45&lt;STVPP*0.2),(CL45*STVPP*0.2*Worksheet!$F$88/1000-BB45*1.12)*PropTaxAdj,IF(BB45*1.12&lt;N45*60/1000,(N45*60/1000-BB45*1.12)*PropTaxAdj,0)),2),0)</f>
        <v>0</v>
      </c>
      <c r="BK45" s="212">
        <f>ROUND(IF($F45=4,0,Y45*Worksheet!$E$16),2)</f>
        <v>0.09</v>
      </c>
      <c r="BL45" s="212">
        <f>ROUND(IF($F45=4,0,Z45*Worksheet!$E$17),2)</f>
        <v>11</v>
      </c>
      <c r="BM45" s="212">
        <f>ROUND(IF($F45=4,0,AA45*Worksheet!$E$18),2)</f>
        <v>80</v>
      </c>
      <c r="BN45" s="212">
        <f>ROUND(IF($F45=4,0,AB45*Worksheet!$E$19),2)</f>
        <v>31</v>
      </c>
      <c r="BO45" s="212">
        <f>ROUND(IF($F45=4,0,AC45*Worksheet!$E$20),2)</f>
        <v>45</v>
      </c>
      <c r="BP45" s="212">
        <f>ROUND(AD45*Worksheet!$E$21,2)</f>
        <v>0</v>
      </c>
      <c r="BQ45" s="212">
        <f t="shared" ref="BQ45" si="63">SUM(BK45:BP45)</f>
        <v>167.09</v>
      </c>
      <c r="BR45" s="212">
        <f>ROUND(AD45*Worksheet!$E$25,2)</f>
        <v>0</v>
      </c>
      <c r="BS45" s="212">
        <f>ROUND(SUM(BQ45)*Worksheet!$E$26,2)</f>
        <v>14.7</v>
      </c>
      <c r="BT45" s="212">
        <f>ROUND(Y45*Worksheet!$E$27,2)</f>
        <v>0.02</v>
      </c>
      <c r="BU45" s="212">
        <f>ROUND(AO45*Worksheet!$E$29,2)</f>
        <v>0.67</v>
      </c>
      <c r="BV45" s="212">
        <f>ROUND(AP45*Worksheet!$E$30,2)</f>
        <v>0</v>
      </c>
      <c r="BW45" s="212">
        <f>ROUND(IF($I45&lt;&gt;0,$BQ45*Worksheet!$E$28,0),2)</f>
        <v>0.33</v>
      </c>
      <c r="BX45" s="212">
        <f>ROUND(AE45*Worksheet!$E$31,2)</f>
        <v>0</v>
      </c>
      <c r="BY45" s="212">
        <f>ROUND(AF45*Worksheet!$E$32,2)</f>
        <v>0</v>
      </c>
      <c r="BZ45" s="212">
        <f>ROUND(AG45*Worksheet!$E$33,2)</f>
        <v>0</v>
      </c>
      <c r="CA45" s="212">
        <f>ROUND(ROUND(AH45*BQ45,2)*Worksheet!$E$34,2)</f>
        <v>1.04</v>
      </c>
      <c r="CB45" s="212">
        <f>ROUND(AI45*Worksheet!$E$35,2)</f>
        <v>0</v>
      </c>
      <c r="CC45" s="212">
        <f>ROUND(AJ45*Worksheet!$E$36,2)</f>
        <v>0</v>
      </c>
      <c r="CD45" s="212">
        <f>ROUND(AQ45*Worksheet!$E$38,2)</f>
        <v>0.53</v>
      </c>
      <c r="CE45" s="212">
        <f>ROUND(AR45*Worksheet!$E$39,2)</f>
        <v>0</v>
      </c>
      <c r="CF45" s="212">
        <f>IF(AND(L45&gt;275,SUM(Y45:AD45)&lt;100),ROUND(SUM(Y45:AD45)*Worksheet!$E$41,2),0)</f>
        <v>0</v>
      </c>
      <c r="CG45" s="212">
        <f>IF(AND(L45&gt;600,SUM(Y45:AD45)&lt;50),ROUND((50-SUM(Y45:AD45))*(Worksheet!$E$41+1),2),0)</f>
        <v>0</v>
      </c>
      <c r="CH45" s="212">
        <f t="shared" ref="CH45" si="64">SUM(BQ45:CG45)</f>
        <v>184.38</v>
      </c>
      <c r="CI45" s="116">
        <f t="shared" si="43"/>
        <v>0</v>
      </c>
      <c r="CJ45" s="116">
        <f t="shared" si="44"/>
        <v>184.38</v>
      </c>
      <c r="CK45" s="95">
        <f t="shared" si="29"/>
        <v>1.67</v>
      </c>
      <c r="CL45" s="116">
        <f t="shared" si="45"/>
        <v>307.91000000000003</v>
      </c>
      <c r="CM45" s="116">
        <f t="shared" si="46"/>
        <v>307.91000000000003</v>
      </c>
      <c r="CN45" s="116">
        <f t="shared" si="30"/>
        <v>3581917.03</v>
      </c>
      <c r="CO45" s="131">
        <f>ROUND(IF(F45=4,0,(MAX(ROUND(MAX((BI45*MIN(CL45,K45)*Worksheet!$D$126)+MAX(CL45-K45,0)*Worksheet!$F$50,SUM(J45)),2),SUM(CN45))-SUM(CN45))*MinAdj),2)</f>
        <v>164697.1</v>
      </c>
      <c r="CP45" s="212">
        <f t="shared" si="31"/>
        <v>3746614.13</v>
      </c>
      <c r="CQ45" s="131">
        <f>IF(CL45=0,0,-MIN(CP45,MIN(CP45,ROUND(IF(ROUND(IF(CL45=0,0,N45/CL45),2)&lt;STVPP*0.2,STVPP*0.2*CL45*Worksheet!$F$88/1000,N45*Worksheet!$F$88/1000),2))))</f>
        <v>-1435688.4</v>
      </c>
      <c r="CR45" s="213">
        <f>-MIN(SUM(CP45,CQ45),IF($P45=0,(ROUND(Worksheet!$E$77*S45,2)+ROUND(Worksheet!$E$78*T45,2)+ROUND(Worksheet!$E$79*U45,2)+ROUND(Worksheet!$E$80*V45,2)+ROUND(Worksheet!$E$81*W45,2)+ROUND(Worksheet!$E$82*X45,2)),(ROUND(ROUND(S45*ROUND((1-$O45/$P45),4),2)*Worksheet!$E$77,2)+ROUND(ROUND(T45*ROUND((1-$O45/$P45),4),2)*Worksheet!$E$78,2)+ROUND(ROUND(U45*ROUND((1-$O45/$P45),4),2)*Worksheet!$E$79,2)+ROUND(ROUND(V45*ROUND((1-$O45/$P45),4),2)*Worksheet!$E$80,2)+ROUND(ROUND(W45*ROUND((1-$O45/$P45),4),2)*Worksheet!$E$81,2)+ROUND(ROUND(X45*ROUND((1-$O45/$P45),4),2)*Worksheet!$E$82,2))))</f>
        <v>-52393.15</v>
      </c>
      <c r="CS45" s="212">
        <f t="shared" ref="CS45" si="65">SUM(CP45:CR45)</f>
        <v>2258532.58</v>
      </c>
      <c r="CT45" s="116">
        <f>ROUND(MIN(BA45,ROUND((ROUND(AS45*Worksheet!$E$104,2)+ROUND(AV45*Worksheet!$E$107,2)+ROUND(AT45*Worksheet!$E$105,2)+ROUND(AW45*Worksheet!$E$108,2)+ROUND(AU45*Worksheet!$E$106,2)+ROUND(AX45*Worksheet!$E$109,2)+ROUND(AY45*Worksheet!$E$110,2)+ROUND(AZ45*Worksheet!$E$111,2))*Worksheet!$D$114,2))*BaseRate,2)</f>
        <v>162513.01</v>
      </c>
      <c r="CU45" s="121">
        <v>0</v>
      </c>
      <c r="CV45" s="121">
        <v>0</v>
      </c>
      <c r="CW45" s="121">
        <v>0</v>
      </c>
      <c r="CX45" s="121">
        <v>0</v>
      </c>
      <c r="CY45" s="121">
        <v>0</v>
      </c>
      <c r="DA45" s="212">
        <f t="shared" ref="DA45" si="66">MAX(-CS45,MIN(0,ROUND($R45*EFBPercent+EFBAdd,2)-$Q45))</f>
        <v>0</v>
      </c>
      <c r="DB45" s="212">
        <f>MAX(-CT45,MIN(0,ROUND($R45*EFBPercent+EFBAdd,2)-$Q45),MIN(0,SUM($CS45:CS45)+MIN(0,ROUND($R45*EFBPercent+EFBAdd,2)-$Q45)))</f>
        <v>0</v>
      </c>
      <c r="DC45" s="192">
        <f>IF(CU45&lt;0,0,MAX(-CU45,MIN(0,ROUND($R45*EFBPercent+EFBAdd,2)-$Q45),MIN(0,SUM($CS45:CT45)+MIN(0,ROUND($R45*EFBPercent+EFBAdd,2)-$Q45))))</f>
        <v>0</v>
      </c>
      <c r="DD45" s="192">
        <f>IF(CV45&lt;0,0,MAX(-CV45,MIN(0,ROUND($R45*EFBPercent+EFBAdd,2)-$Q45),MIN(0,SUM($CS45:CU45)+MIN(0,ROUND($R45*EFBPercent+EFBAdd,2)-$Q45))))</f>
        <v>0</v>
      </c>
      <c r="DE45" s="192">
        <f>IF(CW45&lt;0,0,MAX(-CW45,MIN(0,ROUND($R45*EFBPercent+EFBAdd,2)-$Q45),MIN(0,SUM($CS45:CV45)+MIN(0,ROUND($R45*EFBPercent+EFBAdd,2)-$Q45))))</f>
        <v>0</v>
      </c>
      <c r="DF45" s="192">
        <f>IF(CX45&lt;0,0,MAX(-CX45,MIN(0,ROUND($R45*EFBPercent+EFBAdd,2)-$Q45),MIN(0,SUM($CS45:CW45)+MIN(0,ROUND($R45*EFBPercent+EFBAdd,2)-$Q45))))</f>
        <v>0</v>
      </c>
      <c r="DG45" s="212">
        <f>MAX(-CY45,MIN(0,ROUND($R45*EFBPercent+EFBAdd,2)-$Q45),MIN(0,SUM($CS45:CX45)+MIN(0,ROUND($R45*EFBPercent+EFBAdd,2)-$Q45)))</f>
        <v>0</v>
      </c>
      <c r="DI45" s="210">
        <f t="shared" ref="DI45" si="67">+CS45+DA45</f>
        <v>2258532.58</v>
      </c>
      <c r="DJ45" s="210">
        <f t="shared" ref="DJ45" si="68">+CT45+DB45</f>
        <v>162513.01</v>
      </c>
      <c r="DK45" s="210">
        <f t="shared" ref="DK45" si="69">+CU45+DC45</f>
        <v>0</v>
      </c>
      <c r="DL45" s="210">
        <f t="shared" ref="DL45" si="70">+CV45+DD45</f>
        <v>0</v>
      </c>
      <c r="DM45" s="210">
        <f t="shared" ref="DM45" si="71">+CW45+DE45</f>
        <v>0</v>
      </c>
      <c r="DN45" s="210">
        <f t="shared" ref="DN45" si="72">+CX45+DF45</f>
        <v>0</v>
      </c>
      <c r="DO45" s="210">
        <f t="shared" ref="DO45" si="73">+CY45+DG45</f>
        <v>0</v>
      </c>
      <c r="DP45" s="210"/>
      <c r="DQ45" s="73"/>
    </row>
    <row r="46" spans="1:121" ht="10.199999999999999" x14ac:dyDescent="0.2">
      <c r="A46" s="4" t="s">
        <v>529</v>
      </c>
      <c r="B46" s="188">
        <v>1126</v>
      </c>
      <c r="C46" s="189" t="s">
        <v>55</v>
      </c>
      <c r="D46" s="4">
        <v>2027</v>
      </c>
      <c r="E46" s="4" t="s">
        <v>959</v>
      </c>
      <c r="F46" s="4">
        <v>1</v>
      </c>
      <c r="G46" s="4" t="s">
        <v>663</v>
      </c>
      <c r="H46" s="4">
        <v>100</v>
      </c>
      <c r="I46" s="4" t="s">
        <v>853</v>
      </c>
      <c r="J46" s="5">
        <v>6644743.5599999996</v>
      </c>
      <c r="K46" s="5">
        <v>688.86</v>
      </c>
      <c r="L46" s="5">
        <v>420.5</v>
      </c>
      <c r="M46" s="5">
        <v>0</v>
      </c>
      <c r="N46" s="5">
        <v>30126262</v>
      </c>
      <c r="O46" s="5">
        <v>5.29</v>
      </c>
      <c r="P46" s="5">
        <v>105.29</v>
      </c>
      <c r="Q46" s="5">
        <v>0</v>
      </c>
      <c r="R46" s="5">
        <v>0</v>
      </c>
      <c r="S46" s="5">
        <v>9148.1200000000008</v>
      </c>
      <c r="T46" s="5">
        <v>0</v>
      </c>
      <c r="U46" s="5">
        <v>0</v>
      </c>
      <c r="V46" s="5">
        <v>33286.76</v>
      </c>
      <c r="W46" s="5">
        <v>331.52</v>
      </c>
      <c r="X46" s="5">
        <v>38842.83</v>
      </c>
      <c r="Y46" s="5">
        <v>2.27</v>
      </c>
      <c r="Z46" s="5">
        <v>45</v>
      </c>
      <c r="AA46" s="5">
        <v>339</v>
      </c>
      <c r="AB46" s="5">
        <v>126</v>
      </c>
      <c r="AC46" s="5">
        <v>195</v>
      </c>
      <c r="AD46" s="5">
        <v>0</v>
      </c>
      <c r="AE46" s="5">
        <v>0.77</v>
      </c>
      <c r="AF46" s="5">
        <v>0</v>
      </c>
      <c r="AG46" s="5">
        <v>0</v>
      </c>
      <c r="AH46" s="5">
        <v>8.2000000000000003E-2</v>
      </c>
      <c r="AI46" s="5">
        <v>0</v>
      </c>
      <c r="AJ46" s="5">
        <v>0</v>
      </c>
      <c r="AK46" s="5">
        <v>0</v>
      </c>
      <c r="AL46" s="5">
        <v>707.72</v>
      </c>
      <c r="AM46" s="5">
        <v>13.740000000000009</v>
      </c>
      <c r="AN46" s="5">
        <v>705</v>
      </c>
      <c r="AO46" s="5">
        <f t="shared" si="41"/>
        <v>2.7200000000000273</v>
      </c>
      <c r="AP46" s="5">
        <f t="shared" si="62"/>
        <v>0</v>
      </c>
      <c r="AQ46" s="5">
        <v>2.75</v>
      </c>
      <c r="AR46" s="5">
        <v>0.38</v>
      </c>
      <c r="AS46" s="5">
        <v>640</v>
      </c>
      <c r="AT46" s="5">
        <v>129618</v>
      </c>
      <c r="AU46" s="5">
        <v>16</v>
      </c>
      <c r="AV46" s="5">
        <v>4104</v>
      </c>
      <c r="AW46" s="5">
        <v>420.5</v>
      </c>
      <c r="AX46" s="5">
        <v>1</v>
      </c>
      <c r="AY46" s="199">
        <v>10882</v>
      </c>
      <c r="AZ46" s="199">
        <v>0</v>
      </c>
      <c r="BA46" s="5">
        <v>681633.56</v>
      </c>
      <c r="BB46" s="13">
        <v>1775337.66</v>
      </c>
      <c r="BC46" s="190">
        <f>MAX(ROUND(IF(F46&lt;4,IF(H46=0,(SUM(Y46:AD46)*Worksheet!$E$26+Y46*Worksheet!$E$27+AR46*Worksheet!$E$39)*-BaseRate,0)),2),MIN(0,-DI46))</f>
        <v>0</v>
      </c>
      <c r="BD46" s="190">
        <f>MAX(ROUND(IF(F46=4,0,IF(I46=0,0,ROUND(SUM(Y46:AD46)*Worksheet!$E$28,2)*-BaseRate)),2),MIN(0,-DI46-BC46))</f>
        <v>-16402.53</v>
      </c>
      <c r="BE46" s="130">
        <f t="shared" si="23"/>
        <v>0</v>
      </c>
      <c r="BF46" s="130">
        <f t="shared" si="24"/>
        <v>1408</v>
      </c>
      <c r="BG46" s="73"/>
      <c r="BH46" s="191">
        <f t="shared" si="25"/>
        <v>38348.089999999997</v>
      </c>
      <c r="BI46" s="191">
        <f t="shared" si="26"/>
        <v>9646</v>
      </c>
      <c r="BJ46" s="232">
        <f>IFERROR(ROUND(IF(AND(BB46*1.12&lt;N46*60/1000,N46/CL46&lt;STVPP*0.2),(CL46*STVPP*0.2*Worksheet!$F$88/1000-BB46*1.12)*PropTaxAdj,IF(BB46*1.12&lt;N46*60/1000,(N46*60/1000-BB46*1.12)*PropTaxAdj,0)),2),0)</f>
        <v>0</v>
      </c>
      <c r="BK46" s="192">
        <f>ROUND(IF($F46=4,0,Y46*Worksheet!$E$16),2)</f>
        <v>2.27</v>
      </c>
      <c r="BL46" s="192">
        <f>ROUND(IF($F46=4,0,Z46*Worksheet!$E$17),2)</f>
        <v>45</v>
      </c>
      <c r="BM46" s="192">
        <f>ROUND(IF($F46=4,0,AA46*Worksheet!$E$18),2)</f>
        <v>339</v>
      </c>
      <c r="BN46" s="192">
        <f>ROUND(IF($F46=4,0,AB46*Worksheet!$E$19),2)</f>
        <v>126</v>
      </c>
      <c r="BO46" s="192">
        <f>ROUND(IF($F46=4,0,AC46*Worksheet!$E$20),2)</f>
        <v>195</v>
      </c>
      <c r="BP46" s="192">
        <f>ROUND(AD46*Worksheet!$E$21,2)</f>
        <v>0</v>
      </c>
      <c r="BQ46" s="192">
        <f t="shared" si="27"/>
        <v>707.27</v>
      </c>
      <c r="BR46" s="192">
        <f>ROUND(AD46*Worksheet!$E$25,2)</f>
        <v>0</v>
      </c>
      <c r="BS46" s="192">
        <f>ROUND(SUM(BQ46)*Worksheet!$E$26,2)</f>
        <v>62.24</v>
      </c>
      <c r="BT46" s="192">
        <f>ROUND(Y46*Worksheet!$E$27,2)</f>
        <v>0.39</v>
      </c>
      <c r="BU46" s="192">
        <f>ROUND(AO46*Worksheet!$E$29,2)</f>
        <v>2.72</v>
      </c>
      <c r="BV46" s="192">
        <f>ROUND(AP46*Worksheet!$E$30,2)</f>
        <v>0</v>
      </c>
      <c r="BW46" s="192">
        <f>ROUND(IF($I46&lt;&gt;0,$BQ46*Worksheet!$E$28,0),2)</f>
        <v>1.41</v>
      </c>
      <c r="BX46" s="192">
        <f>ROUND(AE46*Worksheet!$E$31,2)</f>
        <v>0.31</v>
      </c>
      <c r="BY46" s="192">
        <f>ROUND(AF46*Worksheet!$E$32,2)</f>
        <v>0</v>
      </c>
      <c r="BZ46" s="192">
        <f>ROUND(AG46*Worksheet!$E$33,2)</f>
        <v>0</v>
      </c>
      <c r="CA46" s="192">
        <f>ROUND(ROUND(AH46*BQ46,2)*Worksheet!$E$34,2)</f>
        <v>1.45</v>
      </c>
      <c r="CB46" s="192">
        <f>ROUND(AI46*Worksheet!$E$35,2)</f>
        <v>0</v>
      </c>
      <c r="CC46" s="192">
        <f>ROUND(AJ46*Worksheet!$E$36,2)</f>
        <v>0</v>
      </c>
      <c r="CD46" s="192">
        <f>ROUND(AQ46*Worksheet!$E$38,2)</f>
        <v>1.65</v>
      </c>
      <c r="CE46" s="192">
        <f>ROUND(AR46*Worksheet!$E$39,2)</f>
        <v>0.38</v>
      </c>
      <c r="CF46" s="192">
        <f>IF(AND(L46&gt;275,SUM(Y46:AD46)&lt;100),ROUND(SUM(Y46:AD46)*Worksheet!$E$41,2),0)</f>
        <v>0</v>
      </c>
      <c r="CG46" s="192">
        <f>IF(AND(L46&gt;600,SUM(Y46:AD46)&lt;50),ROUND((50-SUM(Y46:AD46))*(Worksheet!$E$41+1),2),0)</f>
        <v>0</v>
      </c>
      <c r="CH46" s="192">
        <f t="shared" si="28"/>
        <v>777.81999999999994</v>
      </c>
      <c r="CI46" s="116">
        <f t="shared" si="43"/>
        <v>0</v>
      </c>
      <c r="CJ46" s="116">
        <f t="shared" si="44"/>
        <v>777.81999999999994</v>
      </c>
      <c r="CK46" s="95">
        <f t="shared" si="29"/>
        <v>1.01</v>
      </c>
      <c r="CL46" s="116">
        <f t="shared" si="45"/>
        <v>785.6</v>
      </c>
      <c r="CM46" s="116">
        <f t="shared" si="46"/>
        <v>785.6</v>
      </c>
      <c r="CN46" s="116">
        <f t="shared" si="30"/>
        <v>9138884.8000000007</v>
      </c>
      <c r="CO46" s="131">
        <f>ROUND(IF(F46=4,0,(MAX(ROUND(MAX((BI46*MIN(CL46,K46)*Worksheet!$D$126)+MAX(CL46-K46,0)*Worksheet!$F$50,SUM(J46)),2),SUM(CN46))-SUM(CN46))*MinAdj),2)</f>
        <v>0</v>
      </c>
      <c r="CP46" s="192">
        <f t="shared" si="31"/>
        <v>9138884.8000000007</v>
      </c>
      <c r="CQ46" s="131">
        <f>IF(CL46=0,0,-MIN(CP46,MIN(CP46,ROUND(IF(ROUND(IF(CL46=0,0,N46/CL46),2)&lt;STVPP*0.2,STVPP*0.2*CL46*Worksheet!$F$88/1000,N46*Worksheet!$F$88/1000),2))))</f>
        <v>-1807575.72</v>
      </c>
      <c r="CR46" s="193">
        <f>-MIN(SUM(CP46,CQ46),IF($P46=0,(ROUND(Worksheet!$E$77*S46,2)+ROUND(Worksheet!$E$78*T46,2)+ROUND(Worksheet!$E$79*U46,2)+ROUND(Worksheet!$E$80*V46,2)+ROUND(Worksheet!$E$81*W46,2)+ROUND(Worksheet!$E$82*X46,2)),(ROUND(ROUND(S46*ROUND((1-$O46/$P46),4),2)*Worksheet!$E$77,2)+ROUND(ROUND(T46*ROUND((1-$O46/$P46),4),2)*Worksheet!$E$78,2)+ROUND(ROUND(U46*ROUND((1-$O46/$P46),4),2)*Worksheet!$E$79,2)+ROUND(ROUND(V46*ROUND((1-$O46/$P46),4),2)*Worksheet!$E$80,2)+ROUND(ROUND(W46*ROUND((1-$O46/$P46),4),2)*Worksheet!$E$81,2)+ROUND(ROUND(X46*ROUND((1-$O46/$P46),4),2)*Worksheet!$E$82,2))))</f>
        <v>-58134.33</v>
      </c>
      <c r="CS46" s="192">
        <f t="shared" si="32"/>
        <v>7273174.7500000009</v>
      </c>
      <c r="CT46" s="116">
        <f>ROUND(MIN(BA46,ROUND((ROUND(AS46*Worksheet!$E$104,2)+ROUND(AV46*Worksheet!$E$107,2)+ROUND(AT46*Worksheet!$E$105,2)+ROUND(AW46*Worksheet!$E$108,2)+ROUND(AU46*Worksheet!$E$106,2)+ROUND(AX46*Worksheet!$E$109,2)+ROUND(AY46*Worksheet!$E$110,2)+ROUND(AZ46*Worksheet!$E$111,2))*Worksheet!$D$114,2))*BaseRate,2)</f>
        <v>205089.79</v>
      </c>
      <c r="CU46" s="121">
        <v>0</v>
      </c>
      <c r="CV46" s="121">
        <v>0</v>
      </c>
      <c r="CW46" s="121">
        <v>0</v>
      </c>
      <c r="CX46" s="121">
        <v>0</v>
      </c>
      <c r="CY46" s="121">
        <v>0</v>
      </c>
      <c r="DA46" s="192">
        <f t="shared" si="33"/>
        <v>0</v>
      </c>
      <c r="DB46" s="192">
        <f>MAX(-CT46,MIN(0,ROUND($R46*EFBPercent+EFBAdd,2)-$Q46),MIN(0,SUM($CS46:CS46)+MIN(0,ROUND($R46*EFBPercent+EFBAdd,2)-$Q46)))</f>
        <v>0</v>
      </c>
      <c r="DC46" s="192">
        <f>IF(CU46&lt;0,0,MAX(-CU46,MIN(0,ROUND($R46*EFBPercent+EFBAdd,2)-$Q46),MIN(0,SUM($CS46:CT46)+MIN(0,ROUND($R46*EFBPercent+EFBAdd,2)-$Q46))))</f>
        <v>0</v>
      </c>
      <c r="DD46" s="192">
        <f>IF(CV46&lt;0,0,MAX(-CV46,MIN(0,ROUND($R46*EFBPercent+EFBAdd,2)-$Q46),MIN(0,SUM($CS46:CU46)+MIN(0,ROUND($R46*EFBPercent+EFBAdd,2)-$Q46))))</f>
        <v>0</v>
      </c>
      <c r="DE46" s="192">
        <f>IF(CW46&lt;0,0,MAX(-CW46,MIN(0,ROUND($R46*EFBPercent+EFBAdd,2)-$Q46),MIN(0,SUM($CS46:CV46)+MIN(0,ROUND($R46*EFBPercent+EFBAdd,2)-$Q46))))</f>
        <v>0</v>
      </c>
      <c r="DF46" s="192">
        <f>IF(CX46&lt;0,0,MAX(-CX46,MIN(0,ROUND($R46*EFBPercent+EFBAdd,2)-$Q46),MIN(0,SUM($CS46:CW46)+MIN(0,ROUND($R46*EFBPercent+EFBAdd,2)-$Q46))))</f>
        <v>0</v>
      </c>
      <c r="DG46" s="192">
        <f>MAX(-CY46,MIN(0,ROUND($R46*EFBPercent+EFBAdd,2)-$Q46),MIN(0,SUM($CS46:CX46)+MIN(0,ROUND($R46*EFBPercent+EFBAdd,2)-$Q46)))</f>
        <v>0</v>
      </c>
      <c r="DI46" s="73">
        <f t="shared" si="34"/>
        <v>7273174.7500000009</v>
      </c>
      <c r="DJ46" s="73">
        <f t="shared" si="35"/>
        <v>205089.79</v>
      </c>
      <c r="DK46" s="73">
        <f t="shared" si="36"/>
        <v>0</v>
      </c>
      <c r="DL46" s="73">
        <f t="shared" si="37"/>
        <v>0</v>
      </c>
      <c r="DM46" s="73">
        <f t="shared" si="38"/>
        <v>0</v>
      </c>
      <c r="DN46" s="73">
        <f t="shared" si="39"/>
        <v>0</v>
      </c>
      <c r="DO46" s="73">
        <f t="shared" si="40"/>
        <v>0</v>
      </c>
      <c r="DP46" s="73"/>
      <c r="DQ46" s="73"/>
    </row>
    <row r="47" spans="1:121" ht="10.199999999999999" x14ac:dyDescent="0.2">
      <c r="A47" s="4" t="s">
        <v>853</v>
      </c>
      <c r="B47" s="188">
        <v>1408</v>
      </c>
      <c r="C47" s="189" t="s">
        <v>698</v>
      </c>
      <c r="D47" s="4">
        <v>2027</v>
      </c>
      <c r="E47" s="4" t="s">
        <v>818</v>
      </c>
      <c r="F47" s="4">
        <v>0</v>
      </c>
      <c r="G47" s="4" t="s">
        <v>968</v>
      </c>
      <c r="H47" s="4">
        <v>0</v>
      </c>
      <c r="I47" s="4">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f t="shared" si="41"/>
        <v>0</v>
      </c>
      <c r="AP47" s="5">
        <v>0</v>
      </c>
      <c r="AQ47" s="5">
        <v>0</v>
      </c>
      <c r="AR47" s="5">
        <v>0</v>
      </c>
      <c r="AS47" s="5">
        <v>0</v>
      </c>
      <c r="AT47" s="5">
        <v>0</v>
      </c>
      <c r="AU47" s="5">
        <v>0</v>
      </c>
      <c r="AV47" s="5">
        <v>0</v>
      </c>
      <c r="AW47" s="5">
        <v>0</v>
      </c>
      <c r="AX47" s="5">
        <v>0</v>
      </c>
      <c r="AY47" s="199">
        <v>0</v>
      </c>
      <c r="AZ47" s="199">
        <v>0</v>
      </c>
      <c r="BA47" s="5">
        <v>0</v>
      </c>
      <c r="BB47" s="13">
        <v>0</v>
      </c>
      <c r="BC47" s="190">
        <f>MAX(ROUND(IF(F47&lt;4,IF(H47=0,(SUM(Y47:AD47)*Worksheet!$E$26+Y47*Worksheet!$E$27+AR47*Worksheet!$E$39)*-BaseRate,0)),2),MIN(0,-DI47))</f>
        <v>0</v>
      </c>
      <c r="BD47" s="190">
        <f>MAX(ROUND(IF(F47=4,0,IF(I47=0,0,ROUND(SUM(Y47:AD47)*Worksheet!$E$28,2)*-BaseRate)),2),MIN(0,-DI47-BC47))</f>
        <v>0</v>
      </c>
      <c r="BE47" s="130">
        <f t="shared" si="23"/>
        <v>0</v>
      </c>
      <c r="BF47" s="130">
        <f t="shared" si="24"/>
        <v>0</v>
      </c>
      <c r="BG47" s="73"/>
      <c r="BH47" s="191">
        <f t="shared" si="25"/>
        <v>0</v>
      </c>
      <c r="BI47" s="191">
        <f t="shared" si="26"/>
        <v>0</v>
      </c>
      <c r="BJ47" s="232">
        <f>IFERROR(ROUND(IF(AND(BB47*1.12&lt;N47*60/1000,N47/CL47&lt;STVPP*0.2),(CL47*STVPP*0.2*Worksheet!$F$88/1000-BB47*1.12)*PropTaxAdj,IF(BB47*1.12&lt;N47*60/1000,(N47*60/1000-BB47*1.12)*PropTaxAdj,0)),2),0)</f>
        <v>0</v>
      </c>
      <c r="BK47" s="192">
        <f>ROUND(IF($F47=4,0,Y47*Worksheet!$E$16),2)</f>
        <v>0</v>
      </c>
      <c r="BL47" s="192">
        <f>ROUND(IF($F47=4,0,Z47*Worksheet!$E$17),2)</f>
        <v>0</v>
      </c>
      <c r="BM47" s="192">
        <f>ROUND(IF($F47=4,0,AA47*Worksheet!$E$18),2)</f>
        <v>0</v>
      </c>
      <c r="BN47" s="192">
        <f>ROUND(IF($F47=4,0,AB47*Worksheet!$E$19),2)</f>
        <v>0</v>
      </c>
      <c r="BO47" s="192">
        <f>ROUND(IF($F47=4,0,AC47*Worksheet!$E$20),2)</f>
        <v>0</v>
      </c>
      <c r="BP47" s="192">
        <f>ROUND(AD47*Worksheet!$E$21,2)</f>
        <v>0</v>
      </c>
      <c r="BQ47" s="192">
        <f t="shared" si="27"/>
        <v>0</v>
      </c>
      <c r="BR47" s="192">
        <f>ROUND(AD47*Worksheet!$E$25,2)</f>
        <v>0</v>
      </c>
      <c r="BS47" s="192">
        <f>ROUND(SUM(BQ47)*Worksheet!$E$26,2)</f>
        <v>0</v>
      </c>
      <c r="BT47" s="192">
        <f>ROUND(Y47*Worksheet!$E$27,2)</f>
        <v>0</v>
      </c>
      <c r="BU47" s="192">
        <f>ROUND(AO47*Worksheet!$E$29,2)</f>
        <v>0</v>
      </c>
      <c r="BV47" s="192">
        <f>ROUND(AP47*Worksheet!$E$30,2)</f>
        <v>0</v>
      </c>
      <c r="BW47" s="192">
        <f>ROUND(IF($I47&lt;&gt;0,$BQ47*Worksheet!$E$28,0),2)</f>
        <v>0</v>
      </c>
      <c r="BX47" s="192">
        <f>ROUND(AE47*Worksheet!$E$31,2)</f>
        <v>0</v>
      </c>
      <c r="BY47" s="192">
        <f>ROUND(AF47*Worksheet!$E$32,2)</f>
        <v>0</v>
      </c>
      <c r="BZ47" s="192">
        <f>ROUND(AG47*Worksheet!$E$33,2)</f>
        <v>0</v>
      </c>
      <c r="CA47" s="192">
        <f>ROUND(ROUND(AH47*BQ47,2)*Worksheet!$E$34,2)</f>
        <v>0</v>
      </c>
      <c r="CB47" s="192">
        <f>ROUND(AI47*Worksheet!$E$35,2)</f>
        <v>0</v>
      </c>
      <c r="CC47" s="192">
        <f>ROUND(AJ47*Worksheet!$E$36,2)</f>
        <v>0</v>
      </c>
      <c r="CD47" s="192">
        <f>ROUND(AQ47*Worksheet!$E$38,2)</f>
        <v>0</v>
      </c>
      <c r="CE47" s="192">
        <f>ROUND(AR47*Worksheet!$E$39,2)</f>
        <v>0</v>
      </c>
      <c r="CF47" s="192">
        <f>IF(AND(L47&gt;275,SUM(Y47:AD47)&lt;100),ROUND(SUM(Y47:AD47)*Worksheet!$E$41,2),0)</f>
        <v>0</v>
      </c>
      <c r="CG47" s="192">
        <f>IF(AND(L47&gt;600,SUM(Y47:AD47)&lt;50),ROUND((50-SUM(Y47:AD47))*(Worksheet!$E$41+1),2),0)</f>
        <v>0</v>
      </c>
      <c r="CH47" s="192">
        <f t="shared" si="28"/>
        <v>0</v>
      </c>
      <c r="CI47" s="116">
        <f t="shared" si="43"/>
        <v>0</v>
      </c>
      <c r="CJ47" s="116">
        <f t="shared" si="44"/>
        <v>0</v>
      </c>
      <c r="CK47" s="95">
        <f t="shared" si="29"/>
        <v>0</v>
      </c>
      <c r="CL47" s="116">
        <f t="shared" si="45"/>
        <v>0</v>
      </c>
      <c r="CM47" s="116">
        <f t="shared" si="46"/>
        <v>0</v>
      </c>
      <c r="CN47" s="116">
        <f t="shared" si="30"/>
        <v>0</v>
      </c>
      <c r="CO47" s="131">
        <f>ROUND(IF(F47=4,0,(MAX(ROUND(MAX((BI47*MIN(CL47,K47)*Worksheet!$D$126)+MAX(CL47-K47,0)*Worksheet!$F$50,SUM(J47)),2),SUM(CN47))-SUM(CN47))*MinAdj),2)</f>
        <v>0</v>
      </c>
      <c r="CP47" s="192">
        <f t="shared" si="31"/>
        <v>0</v>
      </c>
      <c r="CQ47" s="131">
        <f>IF(CL47=0,0,-MIN(CP47,MIN(CP47,ROUND(IF(ROUND(IF(CL47=0,0,N47/CL47),2)&lt;STVPP*0.2,STVPP*0.2*CL47*Worksheet!$F$88/1000,N47*Worksheet!$F$88/1000),2))))</f>
        <v>0</v>
      </c>
      <c r="CR47" s="193">
        <f>-MIN(SUM(CP47,CQ47),IF($P47=0,(ROUND(Worksheet!$E$77*S47,2)+ROUND(Worksheet!$E$78*T47,2)+ROUND(Worksheet!$E$79*U47,2)+ROUND(Worksheet!$E$80*V47,2)+ROUND(Worksheet!$E$81*W47,2)+ROUND(Worksheet!$E$82*X47,2)),(ROUND(ROUND(S47*ROUND((1-$O47/$P47),4),2)*Worksheet!$E$77,2)+ROUND(ROUND(T47*ROUND((1-$O47/$P47),4),2)*Worksheet!$E$78,2)+ROUND(ROUND(U47*ROUND((1-$O47/$P47),4),2)*Worksheet!$E$79,2)+ROUND(ROUND(V47*ROUND((1-$O47/$P47),4),2)*Worksheet!$E$80,2)+ROUND(ROUND(W47*ROUND((1-$O47/$P47),4),2)*Worksheet!$E$81,2)+ROUND(ROUND(X47*ROUND((1-$O47/$P47),4),2)*Worksheet!$E$82,2))))</f>
        <v>0</v>
      </c>
      <c r="CS47" s="192">
        <f t="shared" si="32"/>
        <v>0</v>
      </c>
      <c r="CT47" s="116">
        <f>ROUND(MIN(BA47,ROUND((ROUND(AS47*Worksheet!$E$104,2)+ROUND(AV47*Worksheet!$E$107,2)+ROUND(AT47*Worksheet!$E$105,2)+ROUND(AW47*Worksheet!$E$108,2)+ROUND(AU47*Worksheet!$E$106,2)+ROUND(AX47*Worksheet!$E$109,2)+ROUND(AY47*Worksheet!$E$110,2)+ROUND(AZ47*Worksheet!$E$111,2))*Worksheet!$D$114,2))*BaseRate,2)</f>
        <v>0</v>
      </c>
      <c r="CU47" s="121">
        <v>0</v>
      </c>
      <c r="CV47" s="121">
        <v>0</v>
      </c>
      <c r="CW47" s="121">
        <v>0</v>
      </c>
      <c r="CX47" s="121">
        <v>0</v>
      </c>
      <c r="CY47" s="121">
        <v>0</v>
      </c>
      <c r="DA47" s="192">
        <f t="shared" si="33"/>
        <v>0</v>
      </c>
      <c r="DB47" s="192">
        <f>MAX(-CT47,MIN(0,ROUND($R47*EFBPercent+EFBAdd,2)-$Q47),MIN(0,SUM($CS47:CS47)+MIN(0,ROUND($R47*EFBPercent+EFBAdd,2)-$Q47)))</f>
        <v>0</v>
      </c>
      <c r="DC47" s="192">
        <f>IF(CU47&lt;0,0,MAX(-CU47,MIN(0,ROUND($R47*EFBPercent+EFBAdd,2)-$Q47),MIN(0,SUM($CS47:CT47)+MIN(0,ROUND($R47*EFBPercent+EFBAdd,2)-$Q47))))</f>
        <v>0</v>
      </c>
      <c r="DD47" s="192">
        <f>IF(CV47&lt;0,0,MAX(-CV47,MIN(0,ROUND($R47*EFBPercent+EFBAdd,2)-$Q47),MIN(0,SUM($CS47:CU47)+MIN(0,ROUND($R47*EFBPercent+EFBAdd,2)-$Q47))))</f>
        <v>0</v>
      </c>
      <c r="DE47" s="192">
        <f>IF(CW47&lt;0,0,MAX(-CW47,MIN(0,ROUND($R47*EFBPercent+EFBAdd,2)-$Q47),MIN(0,SUM($CS47:CV47)+MIN(0,ROUND($R47*EFBPercent+EFBAdd,2)-$Q47))))</f>
        <v>0</v>
      </c>
      <c r="DF47" s="192">
        <f>IF(CX47&lt;0,0,MAX(-CX47,MIN(0,ROUND($R47*EFBPercent+EFBAdd,2)-$Q47),MIN(0,SUM($CS47:CW47)+MIN(0,ROUND($R47*EFBPercent+EFBAdd,2)-$Q47))))</f>
        <v>0</v>
      </c>
      <c r="DG47" s="192">
        <f>MAX(-CY47,MIN(0,ROUND($R47*EFBPercent+EFBAdd,2)-$Q47),MIN(0,SUM($CS47:CX47)+MIN(0,ROUND($R47*EFBPercent+EFBAdd,2)-$Q47)))</f>
        <v>0</v>
      </c>
      <c r="DI47" s="73">
        <f t="shared" si="34"/>
        <v>0</v>
      </c>
      <c r="DJ47" s="73">
        <f t="shared" si="35"/>
        <v>0</v>
      </c>
      <c r="DK47" s="73">
        <f t="shared" si="36"/>
        <v>0</v>
      </c>
      <c r="DL47" s="73">
        <f t="shared" si="37"/>
        <v>0</v>
      </c>
      <c r="DM47" s="73">
        <f t="shared" si="38"/>
        <v>0</v>
      </c>
      <c r="DN47" s="73">
        <f t="shared" si="39"/>
        <v>0</v>
      </c>
      <c r="DO47" s="73">
        <f t="shared" si="40"/>
        <v>0</v>
      </c>
      <c r="DP47" s="73"/>
      <c r="DQ47" s="73"/>
    </row>
    <row r="48" spans="1:121" ht="10.199999999999999" x14ac:dyDescent="0.2">
      <c r="A48" s="4" t="s">
        <v>663</v>
      </c>
      <c r="B48" s="188">
        <v>2521</v>
      </c>
      <c r="C48" s="189" t="s">
        <v>183</v>
      </c>
      <c r="D48" s="4">
        <v>2027</v>
      </c>
      <c r="E48" s="4" t="s">
        <v>1032</v>
      </c>
      <c r="F48" s="4">
        <v>7</v>
      </c>
      <c r="G48" s="4" t="s">
        <v>663</v>
      </c>
      <c r="H48" s="4">
        <v>0</v>
      </c>
      <c r="I48" s="4">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f t="shared" si="41"/>
        <v>0</v>
      </c>
      <c r="AP48" s="5">
        <v>0</v>
      </c>
      <c r="AQ48" s="5">
        <v>0</v>
      </c>
      <c r="AR48" s="5">
        <v>0</v>
      </c>
      <c r="AS48" s="5">
        <v>0</v>
      </c>
      <c r="AT48" s="5">
        <v>0</v>
      </c>
      <c r="AU48" s="5">
        <v>0</v>
      </c>
      <c r="AV48" s="5">
        <v>0</v>
      </c>
      <c r="AW48" s="5">
        <v>0</v>
      </c>
      <c r="AX48" s="5">
        <v>0</v>
      </c>
      <c r="AY48" s="199">
        <v>0</v>
      </c>
      <c r="AZ48" s="199">
        <v>0</v>
      </c>
      <c r="BA48" s="5">
        <v>180</v>
      </c>
      <c r="BB48" s="13">
        <v>0</v>
      </c>
      <c r="BC48" s="190">
        <f>MAX(ROUND(IF(F48&lt;4,IF(H48=0,(SUM(Y48:AD48)*Worksheet!$E$26+Y48*Worksheet!$E$27+AR48*Worksheet!$E$39)*-BaseRate,0)),2),MIN(0,-DI48))</f>
        <v>0</v>
      </c>
      <c r="BD48" s="190">
        <f>MAX(ROUND(IF(F48=4,0,IF(I48=0,0,ROUND(SUM(Y48:AD48)*Worksheet!$E$28,2)*-BaseRate)),2),MIN(0,-DI48-BC48))</f>
        <v>0</v>
      </c>
      <c r="BE48" s="130">
        <f t="shared" si="23"/>
        <v>0</v>
      </c>
      <c r="BF48" s="130">
        <f t="shared" si="24"/>
        <v>0</v>
      </c>
      <c r="BG48" s="73"/>
      <c r="BH48" s="191">
        <f t="shared" si="25"/>
        <v>0</v>
      </c>
      <c r="BI48" s="191">
        <f t="shared" si="26"/>
        <v>0</v>
      </c>
      <c r="BJ48" s="232">
        <f>IFERROR(ROUND(IF(AND(BB48*1.12&lt;N48*60/1000,N48/CL48&lt;STVPP*0.2),(CL48*STVPP*0.2*Worksheet!$F$88/1000-BB48*1.12)*PropTaxAdj,IF(BB48*1.12&lt;N48*60/1000,(N48*60/1000-BB48*1.12)*PropTaxAdj,0)),2),0)</f>
        <v>0</v>
      </c>
      <c r="BK48" s="192">
        <f>ROUND(IF($F48=4,0,Y48*Worksheet!$E$16),2)</f>
        <v>0</v>
      </c>
      <c r="BL48" s="192">
        <f>ROUND(IF($F48=4,0,Z48*Worksheet!$E$17),2)</f>
        <v>0</v>
      </c>
      <c r="BM48" s="192">
        <f>ROUND(IF($F48=4,0,AA48*Worksheet!$E$18),2)</f>
        <v>0</v>
      </c>
      <c r="BN48" s="192">
        <f>ROUND(IF($F48=4,0,AB48*Worksheet!$E$19),2)</f>
        <v>0</v>
      </c>
      <c r="BO48" s="192">
        <f>ROUND(IF($F48=4,0,AC48*Worksheet!$E$20),2)</f>
        <v>0</v>
      </c>
      <c r="BP48" s="192">
        <f>ROUND(AD48*Worksheet!$E$21,2)</f>
        <v>0</v>
      </c>
      <c r="BQ48" s="192">
        <f t="shared" si="27"/>
        <v>0</v>
      </c>
      <c r="BR48" s="192">
        <f>ROUND(AD48*Worksheet!$E$25,2)</f>
        <v>0</v>
      </c>
      <c r="BS48" s="192">
        <f>ROUND(SUM(BQ48)*Worksheet!$E$26,2)</f>
        <v>0</v>
      </c>
      <c r="BT48" s="192">
        <f>ROUND(Y48*Worksheet!$E$27,2)</f>
        <v>0</v>
      </c>
      <c r="BU48" s="192">
        <f>ROUND(AO48*Worksheet!$E$29,2)</f>
        <v>0</v>
      </c>
      <c r="BV48" s="192">
        <f>ROUND(AP48*Worksheet!$E$30,2)</f>
        <v>0</v>
      </c>
      <c r="BW48" s="192">
        <f>ROUND(IF($I48&lt;&gt;0,$BQ48*Worksheet!$E$28,0),2)</f>
        <v>0</v>
      </c>
      <c r="BX48" s="192">
        <f>ROUND(AE48*Worksheet!$E$31,2)</f>
        <v>0</v>
      </c>
      <c r="BY48" s="192">
        <f>ROUND(AF48*Worksheet!$E$32,2)</f>
        <v>0</v>
      </c>
      <c r="BZ48" s="192">
        <f>ROUND(AG48*Worksheet!$E$33,2)</f>
        <v>0</v>
      </c>
      <c r="CA48" s="192">
        <f>ROUND(ROUND(AH48*BQ48,2)*Worksheet!$E$34,2)</f>
        <v>0</v>
      </c>
      <c r="CB48" s="192">
        <f>ROUND(AI48*Worksheet!$E$35,2)</f>
        <v>0</v>
      </c>
      <c r="CC48" s="192">
        <f>ROUND(AJ48*Worksheet!$E$36,2)</f>
        <v>0</v>
      </c>
      <c r="CD48" s="192">
        <f>ROUND(AQ48*Worksheet!$E$38,2)</f>
        <v>0</v>
      </c>
      <c r="CE48" s="192">
        <f>ROUND(AR48*Worksheet!$E$39,2)</f>
        <v>0</v>
      </c>
      <c r="CF48" s="192">
        <f>IF(AND(L48&gt;275,SUM(Y48:AD48)&lt;100),ROUND(SUM(Y48:AD48)*Worksheet!$E$41,2),0)</f>
        <v>0</v>
      </c>
      <c r="CG48" s="192">
        <f>IF(AND(L48&gt;600,SUM(Y48:AD48)&lt;50),ROUND((50-SUM(Y48:AD48))*(Worksheet!$E$41+1),2),0)</f>
        <v>0</v>
      </c>
      <c r="CH48" s="192">
        <f t="shared" si="28"/>
        <v>0</v>
      </c>
      <c r="CI48" s="116">
        <f t="shared" si="43"/>
        <v>0</v>
      </c>
      <c r="CJ48" s="116">
        <f t="shared" si="44"/>
        <v>0</v>
      </c>
      <c r="CK48" s="95">
        <f t="shared" si="29"/>
        <v>0</v>
      </c>
      <c r="CL48" s="116">
        <f t="shared" si="45"/>
        <v>0</v>
      </c>
      <c r="CM48" s="116">
        <f t="shared" si="46"/>
        <v>0</v>
      </c>
      <c r="CN48" s="116">
        <f t="shared" si="30"/>
        <v>0</v>
      </c>
      <c r="CO48" s="131">
        <f>ROUND(IF(F48=4,0,(MAX(ROUND(MAX((BI48*MIN(CL48,K48)*Worksheet!$D$126)+MAX(CL48-K48,0)*Worksheet!$F$50,SUM(J48)),2),SUM(CN48))-SUM(CN48))*MinAdj),2)</f>
        <v>0</v>
      </c>
      <c r="CP48" s="192">
        <f t="shared" si="31"/>
        <v>0</v>
      </c>
      <c r="CQ48" s="131">
        <f>IF(CL48=0,0,-MIN(CP48,MIN(CP48,ROUND(IF(ROUND(IF(CL48=0,0,N48/CL48),2)&lt;STVPP*0.2,STVPP*0.2*CL48*Worksheet!$F$88/1000,N48*Worksheet!$F$88/1000),2))))</f>
        <v>0</v>
      </c>
      <c r="CR48" s="193">
        <f>-MIN(SUM(CP48,CQ48),IF($P48=0,(ROUND(Worksheet!$E$77*S48,2)+ROUND(Worksheet!$E$78*T48,2)+ROUND(Worksheet!$E$79*U48,2)+ROUND(Worksheet!$E$80*V48,2)+ROUND(Worksheet!$E$81*W48,2)+ROUND(Worksheet!$E$82*X48,2)),(ROUND(ROUND(S48*ROUND((1-$O48/$P48),4),2)*Worksheet!$E$77,2)+ROUND(ROUND(T48*ROUND((1-$O48/$P48),4),2)*Worksheet!$E$78,2)+ROUND(ROUND(U48*ROUND((1-$O48/$P48),4),2)*Worksheet!$E$79,2)+ROUND(ROUND(V48*ROUND((1-$O48/$P48),4),2)*Worksheet!$E$80,2)+ROUND(ROUND(W48*ROUND((1-$O48/$P48),4),2)*Worksheet!$E$81,2)+ROUND(ROUND(X48*ROUND((1-$O48/$P48),4),2)*Worksheet!$E$82,2))))</f>
        <v>0</v>
      </c>
      <c r="CS48" s="192">
        <f t="shared" si="32"/>
        <v>0</v>
      </c>
      <c r="CT48" s="116">
        <f>ROUND(MIN(BA48,ROUND((ROUND(AS48*Worksheet!$E$104,2)+ROUND(AV48*Worksheet!$E$107,2)+ROUND(AT48*Worksheet!$E$105,2)+ROUND(AW48*Worksheet!$E$108,2)+ROUND(AU48*Worksheet!$E$106,2)+ROUND(AX48*Worksheet!$E$109,2)+ROUND(AY48*Worksheet!$E$110,2)+ROUND(AZ48*Worksheet!$E$111,2))*Worksheet!$D$114,2))*BaseRate,2)</f>
        <v>0</v>
      </c>
      <c r="CU48" s="121">
        <v>0</v>
      </c>
      <c r="CV48" s="121">
        <v>22631.84</v>
      </c>
      <c r="CW48" s="121">
        <v>0</v>
      </c>
      <c r="CX48" s="121">
        <v>0</v>
      </c>
      <c r="CY48" s="121">
        <v>0</v>
      </c>
      <c r="DA48" s="192">
        <f t="shared" si="33"/>
        <v>0</v>
      </c>
      <c r="DB48" s="192">
        <f>MAX(-CT48,MIN(0,ROUND($R48*EFBPercent+EFBAdd,2)-$Q48),MIN(0,SUM($CS48:CS48)+MIN(0,ROUND($R48*EFBPercent+EFBAdd,2)-$Q48)))</f>
        <v>0</v>
      </c>
      <c r="DC48" s="192">
        <f>IF(CU48&lt;0,0,MAX(-CU48,MIN(0,ROUND($R48*EFBPercent+EFBAdd,2)-$Q48),MIN(0,SUM($CS48:CT48)+MIN(0,ROUND($R48*EFBPercent+EFBAdd,2)-$Q48))))</f>
        <v>0</v>
      </c>
      <c r="DD48" s="192">
        <f>IF(CV48&lt;0,0,MAX(-CV48,MIN(0,ROUND($R48*EFBPercent+EFBAdd,2)-$Q48),MIN(0,SUM($CS48:CU48)+MIN(0,ROUND($R48*EFBPercent+EFBAdd,2)-$Q48))))</f>
        <v>0</v>
      </c>
      <c r="DE48" s="192">
        <f>IF(CW48&lt;0,0,MAX(-CW48,MIN(0,ROUND($R48*EFBPercent+EFBAdd,2)-$Q48),MIN(0,SUM($CS48:CV48)+MIN(0,ROUND($R48*EFBPercent+EFBAdd,2)-$Q48))))</f>
        <v>0</v>
      </c>
      <c r="DF48" s="192">
        <f>IF(CX48&lt;0,0,MAX(-CX48,MIN(0,ROUND($R48*EFBPercent+EFBAdd,2)-$Q48),MIN(0,SUM($CS48:CW48)+MIN(0,ROUND($R48*EFBPercent+EFBAdd,2)-$Q48))))</f>
        <v>0</v>
      </c>
      <c r="DG48" s="192">
        <f>MAX(-CY48,MIN(0,ROUND($R48*EFBPercent+EFBAdd,2)-$Q48),MIN(0,SUM($CS48:CX48)+MIN(0,ROUND($R48*EFBPercent+EFBAdd,2)-$Q48)))</f>
        <v>0</v>
      </c>
      <c r="DI48" s="73">
        <f t="shared" si="34"/>
        <v>0</v>
      </c>
      <c r="DJ48" s="73">
        <f t="shared" si="35"/>
        <v>0</v>
      </c>
      <c r="DK48" s="73">
        <f t="shared" si="36"/>
        <v>0</v>
      </c>
      <c r="DL48" s="73">
        <f t="shared" si="37"/>
        <v>22631.84</v>
      </c>
      <c r="DM48" s="73">
        <f t="shared" si="38"/>
        <v>0</v>
      </c>
      <c r="DN48" s="73">
        <f t="shared" si="39"/>
        <v>0</v>
      </c>
      <c r="DO48" s="73">
        <f t="shared" si="40"/>
        <v>0</v>
      </c>
      <c r="DP48" s="73"/>
      <c r="DQ48" s="73"/>
    </row>
    <row r="49" spans="1:121" ht="10.199999999999999" x14ac:dyDescent="0.2">
      <c r="A49" s="4" t="s">
        <v>664</v>
      </c>
      <c r="B49" s="188">
        <v>2506</v>
      </c>
      <c r="C49" s="189" t="s">
        <v>184</v>
      </c>
      <c r="D49" s="4">
        <v>2027</v>
      </c>
      <c r="E49" s="4" t="s">
        <v>1033</v>
      </c>
      <c r="F49" s="4">
        <v>7</v>
      </c>
      <c r="G49" s="4" t="s">
        <v>664</v>
      </c>
      <c r="H49" s="4">
        <v>0</v>
      </c>
      <c r="I49" s="4">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f t="shared" si="41"/>
        <v>0</v>
      </c>
      <c r="AP49" s="5">
        <v>0</v>
      </c>
      <c r="AQ49" s="5">
        <v>0</v>
      </c>
      <c r="AR49" s="5">
        <v>0</v>
      </c>
      <c r="AS49" s="5">
        <v>0</v>
      </c>
      <c r="AT49" s="5">
        <v>0</v>
      </c>
      <c r="AU49" s="5">
        <v>0</v>
      </c>
      <c r="AV49" s="5">
        <v>0</v>
      </c>
      <c r="AW49" s="5">
        <v>0</v>
      </c>
      <c r="AX49" s="5">
        <v>0</v>
      </c>
      <c r="AY49" s="199">
        <v>0</v>
      </c>
      <c r="AZ49" s="199">
        <v>0</v>
      </c>
      <c r="BA49" s="5">
        <v>0</v>
      </c>
      <c r="BB49" s="13">
        <v>0</v>
      </c>
      <c r="BC49" s="190">
        <f>MAX(ROUND(IF(F49&lt;4,IF(H49=0,(SUM(Y49:AD49)*Worksheet!$E$26+Y49*Worksheet!$E$27+AR49*Worksheet!$E$39)*-BaseRate,0)),2),MIN(0,-DI49))</f>
        <v>0</v>
      </c>
      <c r="BD49" s="190">
        <f>MAX(ROUND(IF(F49=4,0,IF(I49=0,0,ROUND(SUM(Y49:AD49)*Worksheet!$E$28,2)*-BaseRate)),2),MIN(0,-DI49-BC49))</f>
        <v>0</v>
      </c>
      <c r="BE49" s="130">
        <f t="shared" si="23"/>
        <v>0</v>
      </c>
      <c r="BF49" s="130">
        <f t="shared" si="24"/>
        <v>0</v>
      </c>
      <c r="BG49" s="73"/>
      <c r="BH49" s="191">
        <f t="shared" si="25"/>
        <v>0</v>
      </c>
      <c r="BI49" s="191">
        <f t="shared" si="26"/>
        <v>0</v>
      </c>
      <c r="BJ49" s="232">
        <f>IFERROR(ROUND(IF(AND(BB49*1.12&lt;N49*60/1000,N49/CL49&lt;STVPP*0.2),(CL49*STVPP*0.2*Worksheet!$F$88/1000-BB49*1.12)*PropTaxAdj,IF(BB49*1.12&lt;N49*60/1000,(N49*60/1000-BB49*1.12)*PropTaxAdj,0)),2),0)</f>
        <v>0</v>
      </c>
      <c r="BK49" s="192">
        <f>ROUND(IF($F49=4,0,Y49*Worksheet!$E$16),2)</f>
        <v>0</v>
      </c>
      <c r="BL49" s="192">
        <f>ROUND(IF($F49=4,0,Z49*Worksheet!$E$17),2)</f>
        <v>0</v>
      </c>
      <c r="BM49" s="192">
        <f>ROUND(IF($F49=4,0,AA49*Worksheet!$E$18),2)</f>
        <v>0</v>
      </c>
      <c r="BN49" s="192">
        <f>ROUND(IF($F49=4,0,AB49*Worksheet!$E$19),2)</f>
        <v>0</v>
      </c>
      <c r="BO49" s="192">
        <f>ROUND(IF($F49=4,0,AC49*Worksheet!$E$20),2)</f>
        <v>0</v>
      </c>
      <c r="BP49" s="192">
        <f>ROUND(AD49*Worksheet!$E$21,2)</f>
        <v>0</v>
      </c>
      <c r="BQ49" s="192">
        <f t="shared" si="27"/>
        <v>0</v>
      </c>
      <c r="BR49" s="192">
        <f>ROUND(AD49*Worksheet!$E$25,2)</f>
        <v>0</v>
      </c>
      <c r="BS49" s="192">
        <f>ROUND(SUM(BQ49)*Worksheet!$E$26,2)</f>
        <v>0</v>
      </c>
      <c r="BT49" s="192">
        <f>ROUND(Y49*Worksheet!$E$27,2)</f>
        <v>0</v>
      </c>
      <c r="BU49" s="192">
        <f>ROUND(AO49*Worksheet!$E$29,2)</f>
        <v>0</v>
      </c>
      <c r="BV49" s="192">
        <f>ROUND(AP49*Worksheet!$E$30,2)</f>
        <v>0</v>
      </c>
      <c r="BW49" s="192">
        <f>ROUND(IF($I49&lt;&gt;0,$BQ49*Worksheet!$E$28,0),2)</f>
        <v>0</v>
      </c>
      <c r="BX49" s="192">
        <f>ROUND(AE49*Worksheet!$E$31,2)</f>
        <v>0</v>
      </c>
      <c r="BY49" s="192">
        <f>ROUND(AF49*Worksheet!$E$32,2)</f>
        <v>0</v>
      </c>
      <c r="BZ49" s="192">
        <f>ROUND(AG49*Worksheet!$E$33,2)</f>
        <v>0</v>
      </c>
      <c r="CA49" s="192">
        <f>ROUND(ROUND(AH49*BQ49,2)*Worksheet!$E$34,2)</f>
        <v>0</v>
      </c>
      <c r="CB49" s="192">
        <f>ROUND(AI49*Worksheet!$E$35,2)</f>
        <v>0</v>
      </c>
      <c r="CC49" s="192">
        <f>ROUND(AJ49*Worksheet!$E$36,2)</f>
        <v>0</v>
      </c>
      <c r="CD49" s="192">
        <f>ROUND(AQ49*Worksheet!$E$38,2)</f>
        <v>0</v>
      </c>
      <c r="CE49" s="192">
        <f>ROUND(AR49*Worksheet!$E$39,2)</f>
        <v>0</v>
      </c>
      <c r="CF49" s="192">
        <f>IF(AND(L49&gt;275,SUM(Y49:AD49)&lt;100),ROUND(SUM(Y49:AD49)*Worksheet!$E$41,2),0)</f>
        <v>0</v>
      </c>
      <c r="CG49" s="192">
        <f>IF(AND(L49&gt;600,SUM(Y49:AD49)&lt;50),ROUND((50-SUM(Y49:AD49))*(Worksheet!$E$41+1),2),0)</f>
        <v>0</v>
      </c>
      <c r="CH49" s="192">
        <f t="shared" si="28"/>
        <v>0</v>
      </c>
      <c r="CI49" s="116">
        <f t="shared" si="43"/>
        <v>0</v>
      </c>
      <c r="CJ49" s="116">
        <f t="shared" si="44"/>
        <v>0</v>
      </c>
      <c r="CK49" s="95">
        <f t="shared" si="29"/>
        <v>0</v>
      </c>
      <c r="CL49" s="116">
        <f t="shared" si="45"/>
        <v>0</v>
      </c>
      <c r="CM49" s="116">
        <f t="shared" si="46"/>
        <v>0</v>
      </c>
      <c r="CN49" s="116">
        <f t="shared" si="30"/>
        <v>0</v>
      </c>
      <c r="CO49" s="131">
        <f>ROUND(IF(F49=4,0,(MAX(ROUND(MAX((BI49*MIN(CL49,K49)*Worksheet!$D$126)+MAX(CL49-K49,0)*Worksheet!$F$50,SUM(J49)),2),SUM(CN49))-SUM(CN49))*MinAdj),2)</f>
        <v>0</v>
      </c>
      <c r="CP49" s="192">
        <f t="shared" si="31"/>
        <v>0</v>
      </c>
      <c r="CQ49" s="131">
        <f>IF(CL49=0,0,-MIN(CP49,MIN(CP49,ROUND(IF(ROUND(IF(CL49=0,0,N49/CL49),2)&lt;STVPP*0.2,STVPP*0.2*CL49*Worksheet!$F$88/1000,N49*Worksheet!$F$88/1000),2))))</f>
        <v>0</v>
      </c>
      <c r="CR49" s="193">
        <f>-MIN(SUM(CP49,CQ49),IF($P49=0,(ROUND(Worksheet!$E$77*S49,2)+ROUND(Worksheet!$E$78*T49,2)+ROUND(Worksheet!$E$79*U49,2)+ROUND(Worksheet!$E$80*V49,2)+ROUND(Worksheet!$E$81*W49,2)+ROUND(Worksheet!$E$82*X49,2)),(ROUND(ROUND(S49*ROUND((1-$O49/$P49),4),2)*Worksheet!$E$77,2)+ROUND(ROUND(T49*ROUND((1-$O49/$P49),4),2)*Worksheet!$E$78,2)+ROUND(ROUND(U49*ROUND((1-$O49/$P49),4),2)*Worksheet!$E$79,2)+ROUND(ROUND(V49*ROUND((1-$O49/$P49),4),2)*Worksheet!$E$80,2)+ROUND(ROUND(W49*ROUND((1-$O49/$P49),4),2)*Worksheet!$E$81,2)+ROUND(ROUND(X49*ROUND((1-$O49/$P49),4),2)*Worksheet!$E$82,2))))</f>
        <v>0</v>
      </c>
      <c r="CS49" s="192">
        <f t="shared" si="32"/>
        <v>0</v>
      </c>
      <c r="CT49" s="116">
        <f>ROUND(MIN(BA49,ROUND((ROUND(AS49*Worksheet!$E$104,2)+ROUND(AV49*Worksheet!$E$107,2)+ROUND(AT49*Worksheet!$E$105,2)+ROUND(AW49*Worksheet!$E$108,2)+ROUND(AU49*Worksheet!$E$106,2)+ROUND(AX49*Worksheet!$E$109,2)+ROUND(AY49*Worksheet!$E$110,2)+ROUND(AZ49*Worksheet!$E$111,2))*Worksheet!$D$114,2))*BaseRate,2)</f>
        <v>0</v>
      </c>
      <c r="CU49" s="121">
        <v>0</v>
      </c>
      <c r="CV49" s="121">
        <v>112723.8</v>
      </c>
      <c r="CW49" s="121">
        <v>3406.83</v>
      </c>
      <c r="CX49" s="121">
        <v>0</v>
      </c>
      <c r="CY49" s="121">
        <v>0</v>
      </c>
      <c r="DA49" s="192">
        <f t="shared" si="33"/>
        <v>0</v>
      </c>
      <c r="DB49" s="192">
        <f>MAX(-CT49,MIN(0,ROUND($R49*EFBPercent+EFBAdd,2)-$Q49),MIN(0,SUM($CS49:CS49)+MIN(0,ROUND($R49*EFBPercent+EFBAdd,2)-$Q49)))</f>
        <v>0</v>
      </c>
      <c r="DC49" s="192">
        <f>IF(CU49&lt;0,0,MAX(-CU49,MIN(0,ROUND($R49*EFBPercent+EFBAdd,2)-$Q49),MIN(0,SUM($CS49:CT49)+MIN(0,ROUND($R49*EFBPercent+EFBAdd,2)-$Q49))))</f>
        <v>0</v>
      </c>
      <c r="DD49" s="192">
        <f>IF(CV49&lt;0,0,MAX(-CV49,MIN(0,ROUND($R49*EFBPercent+EFBAdd,2)-$Q49),MIN(0,SUM($CS49:CU49)+MIN(0,ROUND($R49*EFBPercent+EFBAdd,2)-$Q49))))</f>
        <v>0</v>
      </c>
      <c r="DE49" s="192">
        <f>IF(CW49&lt;0,0,MAX(-CW49,MIN(0,ROUND($R49*EFBPercent+EFBAdd,2)-$Q49),MIN(0,SUM($CS49:CV49)+MIN(0,ROUND($R49*EFBPercent+EFBAdd,2)-$Q49))))</f>
        <v>0</v>
      </c>
      <c r="DF49" s="192">
        <f>IF(CX49&lt;0,0,MAX(-CX49,MIN(0,ROUND($R49*EFBPercent+EFBAdd,2)-$Q49),MIN(0,SUM($CS49:CW49)+MIN(0,ROUND($R49*EFBPercent+EFBAdd,2)-$Q49))))</f>
        <v>0</v>
      </c>
      <c r="DG49" s="192">
        <f>MAX(-CY49,MIN(0,ROUND($R49*EFBPercent+EFBAdd,2)-$Q49),MIN(0,SUM($CS49:CX49)+MIN(0,ROUND($R49*EFBPercent+EFBAdd,2)-$Q49)))</f>
        <v>0</v>
      </c>
      <c r="DI49" s="73">
        <f t="shared" si="34"/>
        <v>0</v>
      </c>
      <c r="DJ49" s="73">
        <f t="shared" si="35"/>
        <v>0</v>
      </c>
      <c r="DK49" s="73">
        <f t="shared" si="36"/>
        <v>0</v>
      </c>
      <c r="DL49" s="73">
        <f t="shared" si="37"/>
        <v>112723.8</v>
      </c>
      <c r="DM49" s="73">
        <f t="shared" si="38"/>
        <v>3406.83</v>
      </c>
      <c r="DN49" s="73">
        <f t="shared" si="39"/>
        <v>0</v>
      </c>
      <c r="DO49" s="73">
        <f t="shared" si="40"/>
        <v>0</v>
      </c>
      <c r="DP49" s="73"/>
      <c r="DQ49" s="73"/>
    </row>
    <row r="50" spans="1:121" ht="10.199999999999999" x14ac:dyDescent="0.2">
      <c r="A50" s="4" t="s">
        <v>665</v>
      </c>
      <c r="B50" s="188">
        <v>2531</v>
      </c>
      <c r="C50" s="189" t="s">
        <v>185</v>
      </c>
      <c r="D50" s="4">
        <v>2027</v>
      </c>
      <c r="E50" s="4" t="s">
        <v>1034</v>
      </c>
      <c r="F50" s="4">
        <v>7</v>
      </c>
      <c r="G50" s="4" t="s">
        <v>665</v>
      </c>
      <c r="H50" s="4">
        <v>0</v>
      </c>
      <c r="I50" s="4">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f t="shared" si="41"/>
        <v>0</v>
      </c>
      <c r="AP50" s="5">
        <v>0</v>
      </c>
      <c r="AQ50" s="5">
        <v>0</v>
      </c>
      <c r="AR50" s="5">
        <v>0</v>
      </c>
      <c r="AS50" s="5">
        <v>0</v>
      </c>
      <c r="AT50" s="5">
        <v>0</v>
      </c>
      <c r="AU50" s="5">
        <v>0</v>
      </c>
      <c r="AV50" s="5">
        <v>0</v>
      </c>
      <c r="AW50" s="5">
        <v>0</v>
      </c>
      <c r="AX50" s="5">
        <v>0</v>
      </c>
      <c r="AY50" s="199">
        <v>0</v>
      </c>
      <c r="AZ50" s="199">
        <v>0</v>
      </c>
      <c r="BA50" s="5">
        <v>0</v>
      </c>
      <c r="BB50" s="13">
        <v>0</v>
      </c>
      <c r="BC50" s="190">
        <f>MAX(ROUND(IF(F50&lt;4,IF(H50=0,(SUM(Y50:AD50)*Worksheet!$E$26+Y50*Worksheet!$E$27+AR50*Worksheet!$E$39)*-BaseRate,0)),2),MIN(0,-DI50))</f>
        <v>0</v>
      </c>
      <c r="BD50" s="190">
        <f>MAX(ROUND(IF(F50=4,0,IF(I50=0,0,ROUND(SUM(Y50:AD50)*Worksheet!$E$28,2)*-BaseRate)),2),MIN(0,-DI50-BC50))</f>
        <v>0</v>
      </c>
      <c r="BE50" s="130">
        <f t="shared" si="23"/>
        <v>0</v>
      </c>
      <c r="BF50" s="130">
        <f t="shared" si="24"/>
        <v>0</v>
      </c>
      <c r="BG50" s="73"/>
      <c r="BH50" s="191">
        <f t="shared" si="25"/>
        <v>0</v>
      </c>
      <c r="BI50" s="191">
        <f t="shared" si="26"/>
        <v>0</v>
      </c>
      <c r="BJ50" s="232">
        <f>IFERROR(ROUND(IF(AND(BB50*1.12&lt;N50*60/1000,N50/CL50&lt;STVPP*0.2),(CL50*STVPP*0.2*Worksheet!$F$88/1000-BB50*1.12)*PropTaxAdj,IF(BB50*1.12&lt;N50*60/1000,(N50*60/1000-BB50*1.12)*PropTaxAdj,0)),2),0)</f>
        <v>0</v>
      </c>
      <c r="BK50" s="192">
        <f>ROUND(IF($F50=4,0,Y50*Worksheet!$E$16),2)</f>
        <v>0</v>
      </c>
      <c r="BL50" s="192">
        <f>ROUND(IF($F50=4,0,Z50*Worksheet!$E$17),2)</f>
        <v>0</v>
      </c>
      <c r="BM50" s="192">
        <f>ROUND(IF($F50=4,0,AA50*Worksheet!$E$18),2)</f>
        <v>0</v>
      </c>
      <c r="BN50" s="192">
        <f>ROUND(IF($F50=4,0,AB50*Worksheet!$E$19),2)</f>
        <v>0</v>
      </c>
      <c r="BO50" s="192">
        <f>ROUND(IF($F50=4,0,AC50*Worksheet!$E$20),2)</f>
        <v>0</v>
      </c>
      <c r="BP50" s="192">
        <f>ROUND(AD50*Worksheet!$E$21,2)</f>
        <v>0</v>
      </c>
      <c r="BQ50" s="192">
        <f t="shared" si="27"/>
        <v>0</v>
      </c>
      <c r="BR50" s="192">
        <f>ROUND(AD50*Worksheet!$E$25,2)</f>
        <v>0</v>
      </c>
      <c r="BS50" s="192">
        <f>ROUND(SUM(BQ50)*Worksheet!$E$26,2)</f>
        <v>0</v>
      </c>
      <c r="BT50" s="192">
        <f>ROUND(Y50*Worksheet!$E$27,2)</f>
        <v>0</v>
      </c>
      <c r="BU50" s="192">
        <f>ROUND(AO50*Worksheet!$E$29,2)</f>
        <v>0</v>
      </c>
      <c r="BV50" s="192">
        <f>ROUND(AP50*Worksheet!$E$30,2)</f>
        <v>0</v>
      </c>
      <c r="BW50" s="192">
        <f>ROUND(IF($I50&lt;&gt;0,$BQ50*Worksheet!$E$28,0),2)</f>
        <v>0</v>
      </c>
      <c r="BX50" s="192">
        <f>ROUND(AE50*Worksheet!$E$31,2)</f>
        <v>0</v>
      </c>
      <c r="BY50" s="192">
        <f>ROUND(AF50*Worksheet!$E$32,2)</f>
        <v>0</v>
      </c>
      <c r="BZ50" s="192">
        <f>ROUND(AG50*Worksheet!$E$33,2)</f>
        <v>0</v>
      </c>
      <c r="CA50" s="192">
        <f>ROUND(ROUND(AH50*BQ50,2)*Worksheet!$E$34,2)</f>
        <v>0</v>
      </c>
      <c r="CB50" s="192">
        <f>ROUND(AI50*Worksheet!$E$35,2)</f>
        <v>0</v>
      </c>
      <c r="CC50" s="192">
        <f>ROUND(AJ50*Worksheet!$E$36,2)</f>
        <v>0</v>
      </c>
      <c r="CD50" s="192">
        <f>ROUND(AQ50*Worksheet!$E$38,2)</f>
        <v>0</v>
      </c>
      <c r="CE50" s="192">
        <f>ROUND(AR50*Worksheet!$E$39,2)</f>
        <v>0</v>
      </c>
      <c r="CF50" s="192">
        <f>IF(AND(L50&gt;275,SUM(Y50:AD50)&lt;100),ROUND(SUM(Y50:AD50)*Worksheet!$E$41,2),0)</f>
        <v>0</v>
      </c>
      <c r="CG50" s="192">
        <f>IF(AND(L50&gt;600,SUM(Y50:AD50)&lt;50),ROUND((50-SUM(Y50:AD50))*(Worksheet!$E$41+1),2),0)</f>
        <v>0</v>
      </c>
      <c r="CH50" s="192">
        <f t="shared" si="28"/>
        <v>0</v>
      </c>
      <c r="CI50" s="116">
        <f t="shared" si="43"/>
        <v>0</v>
      </c>
      <c r="CJ50" s="116">
        <f t="shared" si="44"/>
        <v>0</v>
      </c>
      <c r="CK50" s="95">
        <f t="shared" si="29"/>
        <v>0</v>
      </c>
      <c r="CL50" s="116">
        <f t="shared" si="45"/>
        <v>0</v>
      </c>
      <c r="CM50" s="116">
        <f t="shared" si="46"/>
        <v>0</v>
      </c>
      <c r="CN50" s="116">
        <f t="shared" si="30"/>
        <v>0</v>
      </c>
      <c r="CO50" s="131">
        <f>ROUND(IF(F50=4,0,(MAX(ROUND(MAX((BI50*MIN(CL50,K50)*Worksheet!$D$126)+MAX(CL50-K50,0)*Worksheet!$F$50,SUM(J50)),2),SUM(CN50))-SUM(CN50))*MinAdj),2)</f>
        <v>0</v>
      </c>
      <c r="CP50" s="192">
        <f t="shared" si="31"/>
        <v>0</v>
      </c>
      <c r="CQ50" s="131">
        <f>IF(CL50=0,0,-MIN(CP50,MIN(CP50,ROUND(IF(ROUND(IF(CL50=0,0,N50/CL50),2)&lt;STVPP*0.2,STVPP*0.2*CL50*Worksheet!$F$88/1000,N50*Worksheet!$F$88/1000),2))))</f>
        <v>0</v>
      </c>
      <c r="CR50" s="193">
        <f>-MIN(SUM(CP50,CQ50),IF($P50=0,(ROUND(Worksheet!$E$77*S50,2)+ROUND(Worksheet!$E$78*T50,2)+ROUND(Worksheet!$E$79*U50,2)+ROUND(Worksheet!$E$80*V50,2)+ROUND(Worksheet!$E$81*W50,2)+ROUND(Worksheet!$E$82*X50,2)),(ROUND(ROUND(S50*ROUND((1-$O50/$P50),4),2)*Worksheet!$E$77,2)+ROUND(ROUND(T50*ROUND((1-$O50/$P50),4),2)*Worksheet!$E$78,2)+ROUND(ROUND(U50*ROUND((1-$O50/$P50),4),2)*Worksheet!$E$79,2)+ROUND(ROUND(V50*ROUND((1-$O50/$P50),4),2)*Worksheet!$E$80,2)+ROUND(ROUND(W50*ROUND((1-$O50/$P50),4),2)*Worksheet!$E$81,2)+ROUND(ROUND(X50*ROUND((1-$O50/$P50),4),2)*Worksheet!$E$82,2))))</f>
        <v>0</v>
      </c>
      <c r="CS50" s="192">
        <f t="shared" si="32"/>
        <v>0</v>
      </c>
      <c r="CT50" s="116">
        <f>ROUND(MIN(BA50,ROUND((ROUND(AS50*Worksheet!$E$104,2)+ROUND(AV50*Worksheet!$E$107,2)+ROUND(AT50*Worksheet!$E$105,2)+ROUND(AW50*Worksheet!$E$108,2)+ROUND(AU50*Worksheet!$E$106,2)+ROUND(AX50*Worksheet!$E$109,2)+ROUND(AY50*Worksheet!$E$110,2)+ROUND(AZ50*Worksheet!$E$111,2))*Worksheet!$D$114,2))*BaseRate,2)</f>
        <v>0</v>
      </c>
      <c r="CU50" s="121">
        <v>0</v>
      </c>
      <c r="CV50" s="121">
        <v>27555.88</v>
      </c>
      <c r="CW50" s="121">
        <v>0</v>
      </c>
      <c r="CX50" s="121">
        <v>0</v>
      </c>
      <c r="CY50" s="121">
        <v>0</v>
      </c>
      <c r="DA50" s="192">
        <f t="shared" si="33"/>
        <v>0</v>
      </c>
      <c r="DB50" s="192">
        <f>MAX(-CT50,MIN(0,ROUND($R50*EFBPercent+EFBAdd,2)-$Q50),MIN(0,SUM($CS50:CS50)+MIN(0,ROUND($R50*EFBPercent+EFBAdd,2)-$Q50)))</f>
        <v>0</v>
      </c>
      <c r="DC50" s="192">
        <f>IF(CU50&lt;0,0,MAX(-CU50,MIN(0,ROUND($R50*EFBPercent+EFBAdd,2)-$Q50),MIN(0,SUM($CS50:CT50)+MIN(0,ROUND($R50*EFBPercent+EFBAdd,2)-$Q50))))</f>
        <v>0</v>
      </c>
      <c r="DD50" s="192">
        <f>IF(CV50&lt;0,0,MAX(-CV50,MIN(0,ROUND($R50*EFBPercent+EFBAdd,2)-$Q50),MIN(0,SUM($CS50:CU50)+MIN(0,ROUND($R50*EFBPercent+EFBAdd,2)-$Q50))))</f>
        <v>0</v>
      </c>
      <c r="DE50" s="192">
        <f>IF(CW50&lt;0,0,MAX(-CW50,MIN(0,ROUND($R50*EFBPercent+EFBAdd,2)-$Q50),MIN(0,SUM($CS50:CV50)+MIN(0,ROUND($R50*EFBPercent+EFBAdd,2)-$Q50))))</f>
        <v>0</v>
      </c>
      <c r="DF50" s="192">
        <f>IF(CX50&lt;0,0,MAX(-CX50,MIN(0,ROUND($R50*EFBPercent+EFBAdd,2)-$Q50),MIN(0,SUM($CS50:CW50)+MIN(0,ROUND($R50*EFBPercent+EFBAdd,2)-$Q50))))</f>
        <v>0</v>
      </c>
      <c r="DG50" s="192">
        <f>MAX(-CY50,MIN(0,ROUND($R50*EFBPercent+EFBAdd,2)-$Q50),MIN(0,SUM($CS50:CX50)+MIN(0,ROUND($R50*EFBPercent+EFBAdd,2)-$Q50)))</f>
        <v>0</v>
      </c>
      <c r="DI50" s="73">
        <f t="shared" si="34"/>
        <v>0</v>
      </c>
      <c r="DJ50" s="73">
        <f t="shared" si="35"/>
        <v>0</v>
      </c>
      <c r="DK50" s="73">
        <f t="shared" si="36"/>
        <v>0</v>
      </c>
      <c r="DL50" s="73">
        <f t="shared" si="37"/>
        <v>27555.88</v>
      </c>
      <c r="DM50" s="73">
        <f t="shared" si="38"/>
        <v>0</v>
      </c>
      <c r="DN50" s="73">
        <f t="shared" si="39"/>
        <v>0</v>
      </c>
      <c r="DO50" s="73">
        <f t="shared" si="40"/>
        <v>0</v>
      </c>
      <c r="DP50" s="73"/>
      <c r="DQ50" s="73"/>
    </row>
    <row r="51" spans="1:121" ht="10.199999999999999" x14ac:dyDescent="0.2">
      <c r="A51" s="4" t="s">
        <v>530</v>
      </c>
      <c r="B51" s="188">
        <v>1112</v>
      </c>
      <c r="C51" s="189" t="s">
        <v>56</v>
      </c>
      <c r="D51" s="4">
        <v>2027</v>
      </c>
      <c r="E51" s="4" t="s">
        <v>372</v>
      </c>
      <c r="F51" s="4">
        <v>1</v>
      </c>
      <c r="G51" s="4" t="s">
        <v>675</v>
      </c>
      <c r="H51" s="4">
        <v>0</v>
      </c>
      <c r="I51" s="4" t="s">
        <v>849</v>
      </c>
      <c r="J51" s="5">
        <v>2239547.1100000003</v>
      </c>
      <c r="K51" s="5">
        <v>156.9</v>
      </c>
      <c r="L51" s="5">
        <v>492.97</v>
      </c>
      <c r="M51" s="5">
        <v>0</v>
      </c>
      <c r="N51" s="5">
        <v>13816023</v>
      </c>
      <c r="O51" s="5">
        <v>0</v>
      </c>
      <c r="P51" s="5">
        <v>84</v>
      </c>
      <c r="Q51" s="5">
        <v>0</v>
      </c>
      <c r="R51" s="5">
        <v>0</v>
      </c>
      <c r="S51" s="5">
        <v>45839.76</v>
      </c>
      <c r="T51" s="5">
        <v>0</v>
      </c>
      <c r="U51" s="5">
        <v>0</v>
      </c>
      <c r="V51" s="5">
        <v>2780.93</v>
      </c>
      <c r="W51" s="5">
        <v>632.24</v>
      </c>
      <c r="X51" s="5">
        <v>8674.369999999999</v>
      </c>
      <c r="Y51" s="5">
        <v>1</v>
      </c>
      <c r="Z51" s="5">
        <v>7</v>
      </c>
      <c r="AA51" s="5">
        <v>34</v>
      </c>
      <c r="AB51" s="5">
        <v>14</v>
      </c>
      <c r="AC51" s="5">
        <v>35</v>
      </c>
      <c r="AD51" s="5">
        <v>0</v>
      </c>
      <c r="AE51" s="5">
        <v>0</v>
      </c>
      <c r="AF51" s="5">
        <v>0</v>
      </c>
      <c r="AG51" s="5">
        <v>0</v>
      </c>
      <c r="AH51" s="5">
        <v>0.17799999999999999</v>
      </c>
      <c r="AI51" s="5">
        <v>0</v>
      </c>
      <c r="AJ51" s="5">
        <v>0</v>
      </c>
      <c r="AK51" s="5">
        <v>0</v>
      </c>
      <c r="AL51" s="5">
        <v>91.070000000000007</v>
      </c>
      <c r="AM51" s="5">
        <v>0</v>
      </c>
      <c r="AN51" s="5">
        <v>90</v>
      </c>
      <c r="AO51" s="5">
        <f t="shared" si="41"/>
        <v>1.0700000000000074</v>
      </c>
      <c r="AP51" s="5">
        <f t="shared" ref="AP51:AP58" si="74">IF(AM51&gt;0,SUM(Z51:AD51)-AN51,0)</f>
        <v>0</v>
      </c>
      <c r="AQ51" s="5">
        <v>1.39</v>
      </c>
      <c r="AR51" s="5">
        <v>0</v>
      </c>
      <c r="AS51" s="5">
        <v>0</v>
      </c>
      <c r="AT51" s="5">
        <v>59131.4</v>
      </c>
      <c r="AU51" s="5">
        <v>0</v>
      </c>
      <c r="AV51" s="5">
        <v>2076</v>
      </c>
      <c r="AW51" s="5">
        <v>492.97</v>
      </c>
      <c r="AX51" s="5">
        <v>1</v>
      </c>
      <c r="AY51" s="199">
        <v>0</v>
      </c>
      <c r="AZ51" s="199">
        <v>0</v>
      </c>
      <c r="BA51" s="5">
        <v>211633.7</v>
      </c>
      <c r="BB51" s="13">
        <v>823050.72</v>
      </c>
      <c r="BC51" s="190">
        <f>MAX(ROUND(IF(F51&lt;4,IF(H51=0,(SUM(Y51:AD51)*Worksheet!$E$26+Y51*Worksheet!$E$27+AR51*Worksheet!$E$39)*-BaseRate,0)),2),MIN(0,-DI51))</f>
        <v>-95134.67</v>
      </c>
      <c r="BD51" s="190">
        <f>MAX(ROUND(IF(F51=4,0,IF(I51=0,0,ROUND(SUM(Y51:AD51)*Worksheet!$E$28,2)*-BaseRate)),2),MIN(0,-DI51-BC51))</f>
        <v>-2093.94</v>
      </c>
      <c r="BE51" s="130">
        <f t="shared" si="23"/>
        <v>2514</v>
      </c>
      <c r="BF51" s="130">
        <f t="shared" si="24"/>
        <v>1405</v>
      </c>
      <c r="BG51" s="73"/>
      <c r="BH51" s="191">
        <f t="shared" si="25"/>
        <v>74685.240000000005</v>
      </c>
      <c r="BI51" s="191">
        <f t="shared" si="26"/>
        <v>14273.72</v>
      </c>
      <c r="BJ51" s="232">
        <f>IFERROR(ROUND(IF(AND(BB51*1.12&lt;N51*60/1000,N51/CL51&lt;STVPP*0.2),(CL51*STVPP*0.2*Worksheet!$F$88/1000-BB51*1.12)*PropTaxAdj,IF(BB51*1.12&lt;N51*60/1000,(N51*60/1000-BB51*1.12)*PropTaxAdj,0)),2),0)</f>
        <v>0</v>
      </c>
      <c r="BK51" s="192">
        <f>ROUND(IF($F51=4,0,Y51*Worksheet!$E$16),2)</f>
        <v>1</v>
      </c>
      <c r="BL51" s="192">
        <f>ROUND(IF($F51=4,0,Z51*Worksheet!$E$17),2)</f>
        <v>7</v>
      </c>
      <c r="BM51" s="192">
        <f>ROUND(IF($F51=4,0,AA51*Worksheet!$E$18),2)</f>
        <v>34</v>
      </c>
      <c r="BN51" s="192">
        <f>ROUND(IF($F51=4,0,AB51*Worksheet!$E$19),2)</f>
        <v>14</v>
      </c>
      <c r="BO51" s="192">
        <f>ROUND(IF($F51=4,0,AC51*Worksheet!$E$20),2)</f>
        <v>35</v>
      </c>
      <c r="BP51" s="192">
        <f>ROUND(AD51*Worksheet!$E$21,2)</f>
        <v>0</v>
      </c>
      <c r="BQ51" s="192">
        <f t="shared" si="27"/>
        <v>91</v>
      </c>
      <c r="BR51" s="192">
        <f>ROUND(AD51*Worksheet!$E$25,2)</f>
        <v>0</v>
      </c>
      <c r="BS51" s="192">
        <f>ROUND(SUM(BQ51)*Worksheet!$E$26,2)</f>
        <v>8.01</v>
      </c>
      <c r="BT51" s="192">
        <f>ROUND(Y51*Worksheet!$E$27,2)</f>
        <v>0.17</v>
      </c>
      <c r="BU51" s="192">
        <f>ROUND(AO51*Worksheet!$E$29,2)</f>
        <v>1.07</v>
      </c>
      <c r="BV51" s="192">
        <f>ROUND(AP51*Worksheet!$E$30,2)</f>
        <v>0</v>
      </c>
      <c r="BW51" s="192">
        <f>ROUND(IF($I51&lt;&gt;0,$BQ51*Worksheet!$E$28,0),2)</f>
        <v>0.18</v>
      </c>
      <c r="BX51" s="192">
        <f>ROUND(AE51*Worksheet!$E$31,2)</f>
        <v>0</v>
      </c>
      <c r="BY51" s="192">
        <f>ROUND(AF51*Worksheet!$E$32,2)</f>
        <v>0</v>
      </c>
      <c r="BZ51" s="192">
        <f>ROUND(AG51*Worksheet!$E$33,2)</f>
        <v>0</v>
      </c>
      <c r="CA51" s="192">
        <f>ROUND(ROUND(AH51*BQ51,2)*Worksheet!$E$34,2)</f>
        <v>0.41</v>
      </c>
      <c r="CB51" s="192">
        <f>ROUND(AI51*Worksheet!$E$35,2)</f>
        <v>0</v>
      </c>
      <c r="CC51" s="192">
        <f>ROUND(AJ51*Worksheet!$E$36,2)</f>
        <v>0</v>
      </c>
      <c r="CD51" s="192">
        <f>ROUND(AQ51*Worksheet!$E$38,2)</f>
        <v>0.83</v>
      </c>
      <c r="CE51" s="192">
        <f>ROUND(AR51*Worksheet!$E$39,2)</f>
        <v>0</v>
      </c>
      <c r="CF51" s="192">
        <f>IF(AND(L51&gt;275,SUM(Y51:AD51)&lt;100),ROUND(SUM(Y51:AD51)*Worksheet!$E$41,2),0)</f>
        <v>9.1</v>
      </c>
      <c r="CG51" s="192">
        <f>IF(AND(L51&gt;600,SUM(Y51:AD51)&lt;50),ROUND((50-SUM(Y51:AD51))*(Worksheet!$E$41+1),2),0)</f>
        <v>0</v>
      </c>
      <c r="CH51" s="192">
        <f t="shared" si="28"/>
        <v>110.77</v>
      </c>
      <c r="CI51" s="116">
        <f t="shared" si="43"/>
        <v>0</v>
      </c>
      <c r="CJ51" s="116">
        <f t="shared" si="44"/>
        <v>110.77</v>
      </c>
      <c r="CK51" s="95">
        <f t="shared" si="29"/>
        <v>1.67</v>
      </c>
      <c r="CL51" s="116">
        <f t="shared" si="45"/>
        <v>184.99</v>
      </c>
      <c r="CM51" s="116">
        <f t="shared" si="46"/>
        <v>184.99</v>
      </c>
      <c r="CN51" s="116">
        <f t="shared" si="30"/>
        <v>2151988.67</v>
      </c>
      <c r="CO51" s="131">
        <f>ROUND(IF(F51=4,0,(MAX(ROUND(MAX((BI51*MIN(CL51,K51)*Worksheet!$D$126)+MAX(CL51-K51,0)*Worksheet!$F$50,SUM(J51)),2),SUM(CN51))-SUM(CN51))*MinAdj),2)</f>
        <v>68867.990000000005</v>
      </c>
      <c r="CP51" s="192">
        <f t="shared" si="31"/>
        <v>2220856.66</v>
      </c>
      <c r="CQ51" s="131">
        <f>IF(CL51=0,0,-MIN(CP51,MIN(CP51,ROUND(IF(ROUND(IF(CL51=0,0,N51/CL51),2)&lt;STVPP*0.2,STVPP*0.2*CL51*Worksheet!$F$88/1000,N51*Worksheet!$F$88/1000),2))))</f>
        <v>-828961.38</v>
      </c>
      <c r="CR51" s="193">
        <f>-MIN(SUM(CP51,CQ51),IF($P51=0,(ROUND(Worksheet!$E$77*S51,2)+ROUND(Worksheet!$E$78*T51,2)+ROUND(Worksheet!$E$79*U51,2)+ROUND(Worksheet!$E$80*V51,2)+ROUND(Worksheet!$E$81*W51,2)+ROUND(Worksheet!$E$82*X51,2)),(ROUND(ROUND(S51*ROUND((1-$O51/$P51),4),2)*Worksheet!$E$77,2)+ROUND(ROUND(T51*ROUND((1-$O51/$P51),4),2)*Worksheet!$E$78,2)+ROUND(ROUND(U51*ROUND((1-$O51/$P51),4),2)*Worksheet!$E$79,2)+ROUND(ROUND(V51*ROUND((1-$O51/$P51),4),2)*Worksheet!$E$80,2)+ROUND(ROUND(W51*ROUND((1-$O51/$P51),4),2)*Worksheet!$E$81,2)+ROUND(ROUND(X51*ROUND((1-$O51/$P51),4),2)*Worksheet!$E$82,2))))</f>
        <v>-43445.479999999996</v>
      </c>
      <c r="CS51" s="192">
        <f t="shared" si="32"/>
        <v>1348449.8000000003</v>
      </c>
      <c r="CT51" s="116">
        <f>ROUND(MIN(BA51,ROUND((ROUND(AS51*Worksheet!$E$104,2)+ROUND(AV51*Worksheet!$E$107,2)+ROUND(AT51*Worksheet!$E$105,2)+ROUND(AW51*Worksheet!$E$108,2)+ROUND(AU51*Worksheet!$E$106,2)+ROUND(AX51*Worksheet!$E$109,2)+ROUND(AY51*Worksheet!$E$110,2)+ROUND(AZ51*Worksheet!$E$111,2))*Worksheet!$D$114,2))*BaseRate,2)</f>
        <v>99229.49</v>
      </c>
      <c r="CU51" s="121">
        <v>11429.55</v>
      </c>
      <c r="CV51" s="121">
        <v>0</v>
      </c>
      <c r="CW51" s="121">
        <v>0</v>
      </c>
      <c r="CX51" s="121">
        <v>0</v>
      </c>
      <c r="CY51" s="121">
        <v>0</v>
      </c>
      <c r="DA51" s="192">
        <f t="shared" si="33"/>
        <v>0</v>
      </c>
      <c r="DB51" s="192">
        <f>MAX(-CT51,MIN(0,ROUND($R51*EFBPercent+EFBAdd,2)-$Q51),MIN(0,SUM($CS51:CS51)+MIN(0,ROUND($R51*EFBPercent+EFBAdd,2)-$Q51)))</f>
        <v>0</v>
      </c>
      <c r="DC51" s="192">
        <f>IF(CU51&lt;0,0,MAX(-CU51,MIN(0,ROUND($R51*EFBPercent+EFBAdd,2)-$Q51),MIN(0,SUM($CS51:CT51)+MIN(0,ROUND($R51*EFBPercent+EFBAdd,2)-$Q51))))</f>
        <v>0</v>
      </c>
      <c r="DD51" s="192">
        <f>IF(CV51&lt;0,0,MAX(-CV51,MIN(0,ROUND($R51*EFBPercent+EFBAdd,2)-$Q51),MIN(0,SUM($CS51:CU51)+MIN(0,ROUND($R51*EFBPercent+EFBAdd,2)-$Q51))))</f>
        <v>0</v>
      </c>
      <c r="DE51" s="192">
        <f>IF(CW51&lt;0,0,MAX(-CW51,MIN(0,ROUND($R51*EFBPercent+EFBAdd,2)-$Q51),MIN(0,SUM($CS51:CV51)+MIN(0,ROUND($R51*EFBPercent+EFBAdd,2)-$Q51))))</f>
        <v>0</v>
      </c>
      <c r="DF51" s="192">
        <f>IF(CX51&lt;0,0,MAX(-CX51,MIN(0,ROUND($R51*EFBPercent+EFBAdd,2)-$Q51),MIN(0,SUM($CS51:CW51)+MIN(0,ROUND($R51*EFBPercent+EFBAdd,2)-$Q51))))</f>
        <v>0</v>
      </c>
      <c r="DG51" s="192">
        <f>MAX(-CY51,MIN(0,ROUND($R51*EFBPercent+EFBAdd,2)-$Q51),MIN(0,SUM($CS51:CX51)+MIN(0,ROUND($R51*EFBPercent+EFBAdd,2)-$Q51)))</f>
        <v>0</v>
      </c>
      <c r="DI51" s="73">
        <f t="shared" si="34"/>
        <v>1348449.8000000003</v>
      </c>
      <c r="DJ51" s="73">
        <f t="shared" si="35"/>
        <v>99229.49</v>
      </c>
      <c r="DK51" s="73">
        <f t="shared" si="36"/>
        <v>11429.55</v>
      </c>
      <c r="DL51" s="73">
        <f t="shared" si="37"/>
        <v>0</v>
      </c>
      <c r="DM51" s="73">
        <f t="shared" si="38"/>
        <v>0</v>
      </c>
      <c r="DN51" s="73">
        <f t="shared" si="39"/>
        <v>0</v>
      </c>
      <c r="DO51" s="73">
        <f t="shared" si="40"/>
        <v>0</v>
      </c>
      <c r="DP51" s="73"/>
      <c r="DQ51" s="73"/>
    </row>
    <row r="52" spans="1:121" ht="10.199999999999999" x14ac:dyDescent="0.2">
      <c r="A52" s="4" t="s">
        <v>531</v>
      </c>
      <c r="B52" s="188">
        <v>1078</v>
      </c>
      <c r="C52" s="189" t="s">
        <v>57</v>
      </c>
      <c r="D52" s="4">
        <v>2027</v>
      </c>
      <c r="E52" s="4" t="s">
        <v>373</v>
      </c>
      <c r="F52" s="4">
        <v>1</v>
      </c>
      <c r="G52" s="4" t="s">
        <v>675</v>
      </c>
      <c r="H52" s="4">
        <v>0</v>
      </c>
      <c r="I52" s="4" t="s">
        <v>849</v>
      </c>
      <c r="J52" s="5">
        <v>4495561.92</v>
      </c>
      <c r="K52" s="5">
        <v>436.18</v>
      </c>
      <c r="L52" s="5">
        <v>919.75</v>
      </c>
      <c r="M52" s="5">
        <v>0</v>
      </c>
      <c r="N52" s="5">
        <v>47245273</v>
      </c>
      <c r="O52" s="5">
        <v>0</v>
      </c>
      <c r="P52" s="5">
        <v>91</v>
      </c>
      <c r="Q52" s="5">
        <v>0</v>
      </c>
      <c r="R52" s="5">
        <v>0</v>
      </c>
      <c r="S52" s="5">
        <v>1950</v>
      </c>
      <c r="T52" s="5">
        <v>0</v>
      </c>
      <c r="U52" s="5">
        <v>0</v>
      </c>
      <c r="V52" s="5">
        <v>10475.459999999999</v>
      </c>
      <c r="W52" s="5">
        <v>2868.26</v>
      </c>
      <c r="X52" s="5">
        <v>31922.799999999999</v>
      </c>
      <c r="Y52" s="5">
        <v>5.05</v>
      </c>
      <c r="Z52" s="5">
        <v>26</v>
      </c>
      <c r="AA52" s="5">
        <v>231</v>
      </c>
      <c r="AB52" s="5">
        <v>59</v>
      </c>
      <c r="AC52" s="5">
        <v>138</v>
      </c>
      <c r="AD52" s="5">
        <v>0</v>
      </c>
      <c r="AE52" s="5">
        <v>0</v>
      </c>
      <c r="AF52" s="5">
        <v>0</v>
      </c>
      <c r="AG52" s="5">
        <v>0</v>
      </c>
      <c r="AH52" s="5">
        <v>0.23</v>
      </c>
      <c r="AI52" s="5">
        <v>0</v>
      </c>
      <c r="AJ52" s="5">
        <v>0</v>
      </c>
      <c r="AK52" s="5">
        <v>0</v>
      </c>
      <c r="AL52" s="5">
        <v>457.93</v>
      </c>
      <c r="AM52" s="5">
        <v>18.950000000000045</v>
      </c>
      <c r="AN52" s="5">
        <v>454</v>
      </c>
      <c r="AO52" s="5">
        <f t="shared" si="41"/>
        <v>3.9300000000000068</v>
      </c>
      <c r="AP52" s="5">
        <f t="shared" si="74"/>
        <v>0</v>
      </c>
      <c r="AQ52" s="5">
        <v>2.7</v>
      </c>
      <c r="AR52" s="5">
        <v>0</v>
      </c>
      <c r="AS52" s="5">
        <v>0</v>
      </c>
      <c r="AT52" s="5">
        <v>108360</v>
      </c>
      <c r="AU52" s="5">
        <v>0</v>
      </c>
      <c r="AV52" s="5">
        <v>1720</v>
      </c>
      <c r="AW52" s="5">
        <v>919.75</v>
      </c>
      <c r="AX52" s="5">
        <v>2</v>
      </c>
      <c r="AY52" s="199">
        <v>0</v>
      </c>
      <c r="AZ52" s="199">
        <v>0</v>
      </c>
      <c r="BA52" s="5">
        <v>302090.36</v>
      </c>
      <c r="BB52" s="13">
        <v>2476828.56</v>
      </c>
      <c r="BC52" s="190">
        <f>MAX(ROUND(IF(F52&lt;4,IF(H52=0,(SUM(Y52:AD52)*Worksheet!$E$26+Y52*Worksheet!$E$27+AR52*Worksheet!$E$39)*-BaseRate,0)),2),MIN(0,-DI52))</f>
        <v>-479918.25</v>
      </c>
      <c r="BD52" s="190">
        <f>MAX(ROUND(IF(F52=4,0,IF(I52=0,0,ROUND(SUM(Y52:AD52)*Worksheet!$E$28,2)*-BaseRate)),2),MIN(0,-DI52-BC52))</f>
        <v>-10702.36</v>
      </c>
      <c r="BE52" s="130">
        <f t="shared" si="23"/>
        <v>2514</v>
      </c>
      <c r="BF52" s="130">
        <f t="shared" si="24"/>
        <v>1405</v>
      </c>
      <c r="BG52" s="73"/>
      <c r="BH52" s="191">
        <f t="shared" si="25"/>
        <v>90924.49</v>
      </c>
      <c r="BI52" s="191">
        <f t="shared" si="26"/>
        <v>10306.67</v>
      </c>
      <c r="BJ52" s="232">
        <f>IFERROR(ROUND(IF(AND(BB52*1.12&lt;N52*60/1000,N52/CL52&lt;STVPP*0.2),(CL52*STVPP*0.2*Worksheet!$F$88/1000-BB52*1.12)*PropTaxAdj,IF(BB52*1.12&lt;N52*60/1000,(N52*60/1000-BB52*1.12)*PropTaxAdj,0)),2),0)</f>
        <v>48534.71</v>
      </c>
      <c r="BK52" s="192">
        <f>ROUND(IF($F52=4,0,Y52*Worksheet!$E$16),2)</f>
        <v>5.05</v>
      </c>
      <c r="BL52" s="192">
        <f>ROUND(IF($F52=4,0,Z52*Worksheet!$E$17),2)</f>
        <v>26</v>
      </c>
      <c r="BM52" s="192">
        <f>ROUND(IF($F52=4,0,AA52*Worksheet!$E$18),2)</f>
        <v>231</v>
      </c>
      <c r="BN52" s="192">
        <f>ROUND(IF($F52=4,0,AB52*Worksheet!$E$19),2)</f>
        <v>59</v>
      </c>
      <c r="BO52" s="192">
        <f>ROUND(IF($F52=4,0,AC52*Worksheet!$E$20),2)</f>
        <v>138</v>
      </c>
      <c r="BP52" s="192">
        <f>ROUND(AD52*Worksheet!$E$21,2)</f>
        <v>0</v>
      </c>
      <c r="BQ52" s="192">
        <f t="shared" si="27"/>
        <v>459.05</v>
      </c>
      <c r="BR52" s="192">
        <f>ROUND(AD52*Worksheet!$E$25,2)</f>
        <v>0</v>
      </c>
      <c r="BS52" s="192">
        <f>ROUND(SUM(BQ52)*Worksheet!$E$26,2)</f>
        <v>40.4</v>
      </c>
      <c r="BT52" s="192">
        <f>ROUND(Y52*Worksheet!$E$27,2)</f>
        <v>0.86</v>
      </c>
      <c r="BU52" s="192">
        <f>ROUND(AO52*Worksheet!$E$29,2)</f>
        <v>3.93</v>
      </c>
      <c r="BV52" s="192">
        <f>ROUND(AP52*Worksheet!$E$30,2)</f>
        <v>0</v>
      </c>
      <c r="BW52" s="192">
        <f>ROUND(IF($I52&lt;&gt;0,$BQ52*Worksheet!$E$28,0),2)</f>
        <v>0.92</v>
      </c>
      <c r="BX52" s="192">
        <f>ROUND(AE52*Worksheet!$E$31,2)</f>
        <v>0</v>
      </c>
      <c r="BY52" s="192">
        <f>ROUND(AF52*Worksheet!$E$32,2)</f>
        <v>0</v>
      </c>
      <c r="BZ52" s="192">
        <f>ROUND(AG52*Worksheet!$E$33,2)</f>
        <v>0</v>
      </c>
      <c r="CA52" s="192">
        <f>ROUND(ROUND(AH52*BQ52,2)*Worksheet!$E$34,2)</f>
        <v>2.64</v>
      </c>
      <c r="CB52" s="192">
        <f>ROUND(AI52*Worksheet!$E$35,2)</f>
        <v>0</v>
      </c>
      <c r="CC52" s="192">
        <f>ROUND(AJ52*Worksheet!$E$36,2)</f>
        <v>0</v>
      </c>
      <c r="CD52" s="192">
        <f>ROUND(AQ52*Worksheet!$E$38,2)</f>
        <v>1.62</v>
      </c>
      <c r="CE52" s="192">
        <f>ROUND(AR52*Worksheet!$E$39,2)</f>
        <v>0</v>
      </c>
      <c r="CF52" s="192">
        <f>IF(AND(L52&gt;275,SUM(Y52:AD52)&lt;100),ROUND(SUM(Y52:AD52)*Worksheet!$E$41,2),0)</f>
        <v>0</v>
      </c>
      <c r="CG52" s="192">
        <f>IF(AND(L52&gt;600,SUM(Y52:AD52)&lt;50),ROUND((50-SUM(Y52:AD52))*(Worksheet!$E$41+1),2),0)</f>
        <v>0</v>
      </c>
      <c r="CH52" s="192">
        <f t="shared" si="28"/>
        <v>509.42</v>
      </c>
      <c r="CI52" s="116">
        <f t="shared" si="43"/>
        <v>0</v>
      </c>
      <c r="CJ52" s="116">
        <f t="shared" si="44"/>
        <v>509.42</v>
      </c>
      <c r="CK52" s="95">
        <f t="shared" si="29"/>
        <v>1.02</v>
      </c>
      <c r="CL52" s="116">
        <f t="shared" si="45"/>
        <v>519.61</v>
      </c>
      <c r="CM52" s="116">
        <f t="shared" si="46"/>
        <v>519.61</v>
      </c>
      <c r="CN52" s="116">
        <f t="shared" si="30"/>
        <v>6044623.1299999999</v>
      </c>
      <c r="CO52" s="131">
        <f>ROUND(IF(F52=4,0,(MAX(ROUND(MAX((BI52*MIN(CL52,K52)*Worksheet!$D$126)+MAX(CL52-K52,0)*Worksheet!$F$50,SUM(J52)),2),SUM(CN52))-SUM(CN52))*MinAdj),2)</f>
        <v>0</v>
      </c>
      <c r="CP52" s="192">
        <f t="shared" si="31"/>
        <v>6044623.1299999999</v>
      </c>
      <c r="CQ52" s="131">
        <f>IF(CL52=0,0,-MIN(CP52,MIN(CP52,ROUND(IF(ROUND(IF(CL52=0,0,N52/CL52),2)&lt;STVPP*0.2,STVPP*0.2*CL52*Worksheet!$F$88/1000,N52*Worksheet!$F$88/1000),2))))</f>
        <v>-2834716.38</v>
      </c>
      <c r="CR52" s="193">
        <f>-MIN(SUM(CP52,CQ52),IF($P52=0,(ROUND(Worksheet!$E$77*S52,2)+ROUND(Worksheet!$E$78*T52,2)+ROUND(Worksheet!$E$79*U52,2)+ROUND(Worksheet!$E$80*V52,2)+ROUND(Worksheet!$E$81*W52,2)+ROUND(Worksheet!$E$82*X52,2)),(ROUND(ROUND(S52*ROUND((1-$O52/$P52),4),2)*Worksheet!$E$77,2)+ROUND(ROUND(T52*ROUND((1-$O52/$P52),4),2)*Worksheet!$E$78,2)+ROUND(ROUND(U52*ROUND((1-$O52/$P52),4),2)*Worksheet!$E$79,2)+ROUND(ROUND(V52*ROUND((1-$O52/$P52),4),2)*Worksheet!$E$80,2)+ROUND(ROUND(W52*ROUND((1-$O52/$P52),4),2)*Worksheet!$E$81,2)+ROUND(ROUND(X52*ROUND((1-$O52/$P52),4),2)*Worksheet!$E$82,2))))</f>
        <v>-35412.399999999994</v>
      </c>
      <c r="CS52" s="192">
        <f t="shared" si="32"/>
        <v>3174494.35</v>
      </c>
      <c r="CT52" s="116">
        <f>ROUND(MIN(BA52,ROUND((ROUND(AS52*Worksheet!$E$104,2)+ROUND(AV52*Worksheet!$E$107,2)+ROUND(AT52*Worksheet!$E$105,2)+ROUND(AW52*Worksheet!$E$108,2)+ROUND(AU52*Worksheet!$E$106,2)+ROUND(AX52*Worksheet!$E$109,2)+ROUND(AY52*Worksheet!$E$110,2)+ROUND(AZ52*Worksheet!$E$111,2))*Worksheet!$D$114,2))*BaseRate,2)</f>
        <v>160302.74</v>
      </c>
      <c r="CU52" s="121">
        <v>0</v>
      </c>
      <c r="CV52" s="121">
        <v>0</v>
      </c>
      <c r="CW52" s="121">
        <v>0</v>
      </c>
      <c r="CX52" s="121">
        <v>0</v>
      </c>
      <c r="CY52" s="121">
        <v>0</v>
      </c>
      <c r="DA52" s="192">
        <f t="shared" si="33"/>
        <v>0</v>
      </c>
      <c r="DB52" s="192">
        <f>MAX(-CT52,MIN(0,ROUND($R52*EFBPercent+EFBAdd,2)-$Q52),MIN(0,SUM($CS52:CS52)+MIN(0,ROUND($R52*EFBPercent+EFBAdd,2)-$Q52)))</f>
        <v>0</v>
      </c>
      <c r="DC52" s="192">
        <f>IF(CU52&lt;0,0,MAX(-CU52,MIN(0,ROUND($R52*EFBPercent+EFBAdd,2)-$Q52),MIN(0,SUM($CS52:CT52)+MIN(0,ROUND($R52*EFBPercent+EFBAdd,2)-$Q52))))</f>
        <v>0</v>
      </c>
      <c r="DD52" s="192">
        <f>IF(CV52&lt;0,0,MAX(-CV52,MIN(0,ROUND($R52*EFBPercent+EFBAdd,2)-$Q52),MIN(0,SUM($CS52:CU52)+MIN(0,ROUND($R52*EFBPercent+EFBAdd,2)-$Q52))))</f>
        <v>0</v>
      </c>
      <c r="DE52" s="192">
        <f>IF(CW52&lt;0,0,MAX(-CW52,MIN(0,ROUND($R52*EFBPercent+EFBAdd,2)-$Q52),MIN(0,SUM($CS52:CV52)+MIN(0,ROUND($R52*EFBPercent+EFBAdd,2)-$Q52))))</f>
        <v>0</v>
      </c>
      <c r="DF52" s="192">
        <f>IF(CX52&lt;0,0,MAX(-CX52,MIN(0,ROUND($R52*EFBPercent+EFBAdd,2)-$Q52),MIN(0,SUM($CS52:CW52)+MIN(0,ROUND($R52*EFBPercent+EFBAdd,2)-$Q52))))</f>
        <v>0</v>
      </c>
      <c r="DG52" s="192">
        <f>MAX(-CY52,MIN(0,ROUND($R52*EFBPercent+EFBAdd,2)-$Q52),MIN(0,SUM($CS52:CX52)+MIN(0,ROUND($R52*EFBPercent+EFBAdd,2)-$Q52)))</f>
        <v>0</v>
      </c>
      <c r="DI52" s="73">
        <f t="shared" si="34"/>
        <v>3174494.35</v>
      </c>
      <c r="DJ52" s="73">
        <f t="shared" si="35"/>
        <v>160302.74</v>
      </c>
      <c r="DK52" s="73">
        <f t="shared" si="36"/>
        <v>0</v>
      </c>
      <c r="DL52" s="73">
        <f t="shared" si="37"/>
        <v>0</v>
      </c>
      <c r="DM52" s="73">
        <f t="shared" si="38"/>
        <v>0</v>
      </c>
      <c r="DN52" s="73">
        <f t="shared" si="39"/>
        <v>0</v>
      </c>
      <c r="DO52" s="73">
        <f t="shared" si="40"/>
        <v>0</v>
      </c>
      <c r="DP52" s="73"/>
      <c r="DQ52" s="73"/>
    </row>
    <row r="53" spans="1:121" ht="10.199999999999999" x14ac:dyDescent="0.2">
      <c r="A53" s="4" t="s">
        <v>532</v>
      </c>
      <c r="B53" s="188">
        <v>1035</v>
      </c>
      <c r="C53" s="189" t="s">
        <v>58</v>
      </c>
      <c r="D53" s="4">
        <v>2027</v>
      </c>
      <c r="E53" s="4" t="s">
        <v>374</v>
      </c>
      <c r="F53" s="4">
        <v>1</v>
      </c>
      <c r="G53" s="4" t="s">
        <v>840</v>
      </c>
      <c r="H53" s="4">
        <v>0</v>
      </c>
      <c r="I53" s="4" t="s">
        <v>853</v>
      </c>
      <c r="J53" s="5">
        <v>3943445.3900000006</v>
      </c>
      <c r="K53" s="5">
        <v>403.91</v>
      </c>
      <c r="L53" s="5">
        <v>504.49</v>
      </c>
      <c r="M53" s="5">
        <v>0</v>
      </c>
      <c r="N53" s="5">
        <v>25623326</v>
      </c>
      <c r="O53" s="5">
        <v>12.91</v>
      </c>
      <c r="P53" s="5">
        <v>91.78</v>
      </c>
      <c r="Q53" s="5">
        <v>0</v>
      </c>
      <c r="R53" s="5">
        <v>0</v>
      </c>
      <c r="S53" s="5">
        <v>2593.5</v>
      </c>
      <c r="T53" s="5">
        <v>0</v>
      </c>
      <c r="U53" s="5">
        <v>0</v>
      </c>
      <c r="V53" s="5">
        <v>149690.41</v>
      </c>
      <c r="W53" s="5">
        <v>6353.6900000000005</v>
      </c>
      <c r="X53" s="5">
        <v>14195.2</v>
      </c>
      <c r="Y53" s="5">
        <v>0.14000000000000001</v>
      </c>
      <c r="Z53" s="5">
        <v>18</v>
      </c>
      <c r="AA53" s="5">
        <v>133</v>
      </c>
      <c r="AB53" s="5">
        <v>61</v>
      </c>
      <c r="AC53" s="5">
        <v>83</v>
      </c>
      <c r="AD53" s="5">
        <v>0</v>
      </c>
      <c r="AE53" s="5">
        <v>0</v>
      </c>
      <c r="AF53" s="5">
        <v>7</v>
      </c>
      <c r="AG53" s="5">
        <v>19</v>
      </c>
      <c r="AH53" s="5">
        <v>0.23699999999999999</v>
      </c>
      <c r="AI53" s="5">
        <v>1</v>
      </c>
      <c r="AJ53" s="5">
        <v>0</v>
      </c>
      <c r="AK53" s="5">
        <v>0.41</v>
      </c>
      <c r="AL53" s="5">
        <v>291.24</v>
      </c>
      <c r="AM53" s="5">
        <v>0</v>
      </c>
      <c r="AN53" s="5">
        <v>295</v>
      </c>
      <c r="AO53" s="5">
        <f t="shared" si="41"/>
        <v>0</v>
      </c>
      <c r="AP53" s="5">
        <f t="shared" si="74"/>
        <v>0</v>
      </c>
      <c r="AQ53" s="5">
        <v>3.13</v>
      </c>
      <c r="AR53" s="5">
        <v>0</v>
      </c>
      <c r="AS53" s="5">
        <v>0</v>
      </c>
      <c r="AT53" s="5">
        <v>91000</v>
      </c>
      <c r="AU53" s="5">
        <v>0</v>
      </c>
      <c r="AV53" s="5">
        <v>1750</v>
      </c>
      <c r="AW53" s="5">
        <v>504.49</v>
      </c>
      <c r="AX53" s="5">
        <v>2</v>
      </c>
      <c r="AY53" s="199">
        <v>0</v>
      </c>
      <c r="AZ53" s="199">
        <v>0</v>
      </c>
      <c r="BA53" s="5">
        <v>331528.46000000002</v>
      </c>
      <c r="BB53" s="13">
        <v>1349145.06</v>
      </c>
      <c r="BC53" s="190">
        <f>MAX(ROUND(IF(F53&lt;4,IF(H53=0,(SUM(Y53:AD53)*Worksheet!$E$26+Y53*Worksheet!$E$27+AR53*Worksheet!$E$39)*-BaseRate,0)),2),MIN(0,-DI53))</f>
        <v>-302412.86</v>
      </c>
      <c r="BD53" s="190">
        <f>MAX(ROUND(IF(F53=4,0,IF(I53=0,0,ROUND(SUM(Y53:AD53)*Worksheet!$E$28,2)*-BaseRate)),2),MIN(0,-DI53-BC53))</f>
        <v>-6863.47</v>
      </c>
      <c r="BE53" s="130">
        <f t="shared" si="23"/>
        <v>2512</v>
      </c>
      <c r="BF53" s="130">
        <f t="shared" si="24"/>
        <v>1408</v>
      </c>
      <c r="BG53" s="73"/>
      <c r="BH53" s="191">
        <f t="shared" si="25"/>
        <v>68473.119999999995</v>
      </c>
      <c r="BI53" s="191">
        <f t="shared" si="26"/>
        <v>9763.18</v>
      </c>
      <c r="BJ53" s="232">
        <f>IFERROR(ROUND(IF(AND(BB53*1.12&lt;N53*60/1000,N53/CL53&lt;STVPP*0.2),(CL53*STVPP*0.2*Worksheet!$F$88/1000-BB53*1.12)*PropTaxAdj,IF(BB53*1.12&lt;N53*60/1000,(N53*60/1000-BB53*1.12)*PropTaxAdj,0)),2),0)</f>
        <v>21085.67</v>
      </c>
      <c r="BK53" s="192">
        <f>ROUND(IF($F53=4,0,Y53*Worksheet!$E$16),2)</f>
        <v>0.14000000000000001</v>
      </c>
      <c r="BL53" s="192">
        <f>ROUND(IF($F53=4,0,Z53*Worksheet!$E$17),2)</f>
        <v>18</v>
      </c>
      <c r="BM53" s="192">
        <f>ROUND(IF($F53=4,0,AA53*Worksheet!$E$18),2)</f>
        <v>133</v>
      </c>
      <c r="BN53" s="192">
        <f>ROUND(IF($F53=4,0,AB53*Worksheet!$E$19),2)</f>
        <v>61</v>
      </c>
      <c r="BO53" s="192">
        <f>ROUND(IF($F53=4,0,AC53*Worksheet!$E$20),2)</f>
        <v>83</v>
      </c>
      <c r="BP53" s="192">
        <f>ROUND(AD53*Worksheet!$E$21,2)</f>
        <v>0</v>
      </c>
      <c r="BQ53" s="192">
        <f t="shared" si="27"/>
        <v>295.14</v>
      </c>
      <c r="BR53" s="192">
        <f>ROUND(AD53*Worksheet!$E$25,2)</f>
        <v>0</v>
      </c>
      <c r="BS53" s="192">
        <f>ROUND(SUM(BQ53)*Worksheet!$E$26,2)</f>
        <v>25.97</v>
      </c>
      <c r="BT53" s="192">
        <f>ROUND(Y53*Worksheet!$E$27,2)</f>
        <v>0.02</v>
      </c>
      <c r="BU53" s="192">
        <f>ROUND(AO53*Worksheet!$E$29,2)</f>
        <v>0</v>
      </c>
      <c r="BV53" s="192">
        <f>ROUND(AP53*Worksheet!$E$30,2)</f>
        <v>0</v>
      </c>
      <c r="BW53" s="192">
        <f>ROUND(IF($I53&lt;&gt;0,$BQ53*Worksheet!$E$28,0),2)</f>
        <v>0.59</v>
      </c>
      <c r="BX53" s="192">
        <f>ROUND(AE53*Worksheet!$E$31,2)</f>
        <v>0</v>
      </c>
      <c r="BY53" s="192">
        <f>ROUND(AF53*Worksheet!$E$32,2)</f>
        <v>1.96</v>
      </c>
      <c r="BZ53" s="192">
        <f>ROUND(AG53*Worksheet!$E$33,2)</f>
        <v>1.33</v>
      </c>
      <c r="CA53" s="192">
        <f>ROUND(ROUND(AH53*BQ53,2)*Worksheet!$E$34,2)</f>
        <v>1.75</v>
      </c>
      <c r="CB53" s="192">
        <f>ROUND(AI53*Worksheet!$E$35,2)</f>
        <v>0.2</v>
      </c>
      <c r="CC53" s="192">
        <f>ROUND(AJ53*Worksheet!$E$36,2)</f>
        <v>0</v>
      </c>
      <c r="CD53" s="192">
        <f>ROUND(AQ53*Worksheet!$E$38,2)</f>
        <v>1.88</v>
      </c>
      <c r="CE53" s="192">
        <f>ROUND(AR53*Worksheet!$E$39,2)</f>
        <v>0</v>
      </c>
      <c r="CF53" s="192">
        <f>IF(AND(L53&gt;275,SUM(Y53:AD53)&lt;100),ROUND(SUM(Y53:AD53)*Worksheet!$E$41,2),0)</f>
        <v>0</v>
      </c>
      <c r="CG53" s="192">
        <f>IF(AND(L53&gt;600,SUM(Y53:AD53)&lt;50),ROUND((50-SUM(Y53:AD53))*(Worksheet!$E$41+1),2),0)</f>
        <v>0</v>
      </c>
      <c r="CH53" s="192">
        <f t="shared" si="28"/>
        <v>328.83999999999992</v>
      </c>
      <c r="CI53" s="116">
        <f t="shared" si="43"/>
        <v>0.41</v>
      </c>
      <c r="CJ53" s="116">
        <f t="shared" si="44"/>
        <v>328.42999999999989</v>
      </c>
      <c r="CK53" s="95">
        <f t="shared" si="29"/>
        <v>1.1394</v>
      </c>
      <c r="CL53" s="116">
        <f t="shared" si="45"/>
        <v>374.21</v>
      </c>
      <c r="CM53" s="116">
        <f t="shared" si="46"/>
        <v>374.62</v>
      </c>
      <c r="CN53" s="116">
        <f t="shared" si="30"/>
        <v>4357954.46</v>
      </c>
      <c r="CO53" s="131">
        <f>ROUND(IF(F53=4,0,(MAX(ROUND(MAX((BI53*MIN(CL53,K53)*Worksheet!$D$126)+MAX(CL53-K53,0)*Worksheet!$F$50,SUM(J53)),2),SUM(CN53))-SUM(CN53))*MinAdj),2)</f>
        <v>0</v>
      </c>
      <c r="CP53" s="192">
        <f t="shared" si="31"/>
        <v>4357954.46</v>
      </c>
      <c r="CQ53" s="131">
        <f>IF(CL53=0,0,-MIN(CP53,MIN(CP53,ROUND(IF(ROUND(IF(CL53=0,0,N53/CL53),2)&lt;STVPP*0.2,STVPP*0.2*CL53*Worksheet!$F$88/1000,N53*Worksheet!$F$88/1000),2))))</f>
        <v>-1537399.56</v>
      </c>
      <c r="CR53" s="193">
        <f>-MIN(SUM(CP53,CQ53),IF($P53=0,(ROUND(Worksheet!$E$77*S53,2)+ROUND(Worksheet!$E$78*T53,2)+ROUND(Worksheet!$E$79*U53,2)+ROUND(Worksheet!$E$80*V53,2)+ROUND(Worksheet!$E$81*W53,2)+ROUND(Worksheet!$E$82*X53,2)),(ROUND(ROUND(S53*ROUND((1-$O53/$P53),4),2)*Worksheet!$E$77,2)+ROUND(ROUND(T53*ROUND((1-$O53/$P53),4),2)*Worksheet!$E$78,2)+ROUND(ROUND(U53*ROUND((1-$O53/$P53),4),2)*Worksheet!$E$79,2)+ROUND(ROUND(V53*ROUND((1-$O53/$P53),4),2)*Worksheet!$E$80,2)+ROUND(ROUND(W53*ROUND((1-$O53/$P53),4),2)*Worksheet!$E$81,2)+ROUND(ROUND(X53*ROUND((1-$O53/$P53),4),2)*Worksheet!$E$82,2))))</f>
        <v>-111386.43</v>
      </c>
      <c r="CS53" s="192">
        <f t="shared" si="32"/>
        <v>2709168.4699999997</v>
      </c>
      <c r="CT53" s="116">
        <f>ROUND(MIN(BA53,ROUND((ROUND(AS53*Worksheet!$E$104,2)+ROUND(AV53*Worksheet!$E$107,2)+ROUND(AT53*Worksheet!$E$105,2)+ROUND(AW53*Worksheet!$E$108,2)+ROUND(AU53*Worksheet!$E$106,2)+ROUND(AX53*Worksheet!$E$109,2)+ROUND(AY53*Worksheet!$E$110,2)+ROUND(AZ53*Worksheet!$E$111,2))*Worksheet!$D$114,2))*BaseRate,2)</f>
        <v>135175.46</v>
      </c>
      <c r="CU53" s="121">
        <v>0</v>
      </c>
      <c r="CV53" s="121">
        <v>0</v>
      </c>
      <c r="CW53" s="121">
        <v>0</v>
      </c>
      <c r="CX53" s="121">
        <v>0</v>
      </c>
      <c r="CY53" s="121">
        <v>0</v>
      </c>
      <c r="DA53" s="192">
        <f t="shared" si="33"/>
        <v>0</v>
      </c>
      <c r="DB53" s="192">
        <f>MAX(-CT53,MIN(0,ROUND($R53*EFBPercent+EFBAdd,2)-$Q53),MIN(0,SUM($CS53:CS53)+MIN(0,ROUND($R53*EFBPercent+EFBAdd,2)-$Q53)))</f>
        <v>0</v>
      </c>
      <c r="DC53" s="192">
        <f>IF(CU53&lt;0,0,MAX(-CU53,MIN(0,ROUND($R53*EFBPercent+EFBAdd,2)-$Q53),MIN(0,SUM($CS53:CT53)+MIN(0,ROUND($R53*EFBPercent+EFBAdd,2)-$Q53))))</f>
        <v>0</v>
      </c>
      <c r="DD53" s="192">
        <f>IF(CV53&lt;0,0,MAX(-CV53,MIN(0,ROUND($R53*EFBPercent+EFBAdd,2)-$Q53),MIN(0,SUM($CS53:CU53)+MIN(0,ROUND($R53*EFBPercent+EFBAdd,2)-$Q53))))</f>
        <v>0</v>
      </c>
      <c r="DE53" s="192">
        <f>IF(CW53&lt;0,0,MAX(-CW53,MIN(0,ROUND($R53*EFBPercent+EFBAdd,2)-$Q53),MIN(0,SUM($CS53:CV53)+MIN(0,ROUND($R53*EFBPercent+EFBAdd,2)-$Q53))))</f>
        <v>0</v>
      </c>
      <c r="DF53" s="192">
        <f>IF(CX53&lt;0,0,MAX(-CX53,MIN(0,ROUND($R53*EFBPercent+EFBAdd,2)-$Q53),MIN(0,SUM($CS53:CW53)+MIN(0,ROUND($R53*EFBPercent+EFBAdd,2)-$Q53))))</f>
        <v>0</v>
      </c>
      <c r="DG53" s="192">
        <f>MAX(-CY53,MIN(0,ROUND($R53*EFBPercent+EFBAdd,2)-$Q53),MIN(0,SUM($CS53:CX53)+MIN(0,ROUND($R53*EFBPercent+EFBAdd,2)-$Q53)))</f>
        <v>0</v>
      </c>
      <c r="DI53" s="73">
        <f t="shared" si="34"/>
        <v>2709168.4699999997</v>
      </c>
      <c r="DJ53" s="73">
        <f t="shared" si="35"/>
        <v>135175.46</v>
      </c>
      <c r="DK53" s="73">
        <f t="shared" si="36"/>
        <v>0</v>
      </c>
      <c r="DL53" s="73">
        <f t="shared" si="37"/>
        <v>0</v>
      </c>
      <c r="DM53" s="73">
        <f t="shared" si="38"/>
        <v>0</v>
      </c>
      <c r="DN53" s="73">
        <f t="shared" si="39"/>
        <v>0</v>
      </c>
      <c r="DO53" s="73">
        <f t="shared" si="40"/>
        <v>0</v>
      </c>
      <c r="DP53" s="73"/>
      <c r="DQ53" s="73"/>
    </row>
    <row r="54" spans="1:121" ht="10.199999999999999" x14ac:dyDescent="0.2">
      <c r="A54" s="4" t="s">
        <v>533</v>
      </c>
      <c r="B54" s="188">
        <v>1128</v>
      </c>
      <c r="C54" s="189" t="s">
        <v>59</v>
      </c>
      <c r="D54" s="4">
        <v>2027</v>
      </c>
      <c r="E54" s="4" t="s">
        <v>375</v>
      </c>
      <c r="F54" s="4">
        <v>1</v>
      </c>
      <c r="G54" s="4" t="s">
        <v>658</v>
      </c>
      <c r="H54" s="4">
        <v>0</v>
      </c>
      <c r="I54" s="4" t="s">
        <v>853</v>
      </c>
      <c r="J54" s="5">
        <v>5288515.96</v>
      </c>
      <c r="K54" s="5">
        <v>548.26</v>
      </c>
      <c r="L54" s="5">
        <v>497.5</v>
      </c>
      <c r="M54" s="5">
        <v>0</v>
      </c>
      <c r="N54" s="5">
        <v>25559654</v>
      </c>
      <c r="O54" s="5">
        <v>0</v>
      </c>
      <c r="P54" s="5">
        <v>105.52999999999999</v>
      </c>
      <c r="Q54" s="5">
        <v>0</v>
      </c>
      <c r="R54" s="5">
        <v>0</v>
      </c>
      <c r="S54" s="5">
        <v>8725</v>
      </c>
      <c r="T54" s="5">
        <v>0</v>
      </c>
      <c r="U54" s="5">
        <v>0</v>
      </c>
      <c r="V54" s="5">
        <v>19121.509999999998</v>
      </c>
      <c r="W54" s="5">
        <v>18014.090000000004</v>
      </c>
      <c r="X54" s="5">
        <v>15813.83</v>
      </c>
      <c r="Y54" s="5">
        <v>3.43</v>
      </c>
      <c r="Z54" s="5">
        <v>34</v>
      </c>
      <c r="AA54" s="5">
        <v>197</v>
      </c>
      <c r="AB54" s="5">
        <v>64</v>
      </c>
      <c r="AC54" s="5">
        <v>143</v>
      </c>
      <c r="AD54" s="5">
        <v>0</v>
      </c>
      <c r="AE54" s="5">
        <v>0</v>
      </c>
      <c r="AF54" s="5">
        <v>0</v>
      </c>
      <c r="AG54" s="5">
        <v>3</v>
      </c>
      <c r="AH54" s="5">
        <v>0.26</v>
      </c>
      <c r="AI54" s="5">
        <v>0</v>
      </c>
      <c r="AJ54" s="5">
        <v>0</v>
      </c>
      <c r="AK54" s="5">
        <v>0</v>
      </c>
      <c r="AL54" s="5">
        <v>432.76000000000005</v>
      </c>
      <c r="AM54" s="5">
        <v>0</v>
      </c>
      <c r="AN54" s="5">
        <v>438</v>
      </c>
      <c r="AO54" s="5">
        <f t="shared" si="41"/>
        <v>0</v>
      </c>
      <c r="AP54" s="5">
        <f t="shared" si="74"/>
        <v>0</v>
      </c>
      <c r="AQ54" s="5">
        <v>27.69</v>
      </c>
      <c r="AR54" s="5">
        <v>0</v>
      </c>
      <c r="AS54" s="5">
        <v>0</v>
      </c>
      <c r="AT54" s="5">
        <v>99280</v>
      </c>
      <c r="AU54" s="5">
        <v>0</v>
      </c>
      <c r="AV54" s="5">
        <v>3230</v>
      </c>
      <c r="AW54" s="5">
        <v>497.5</v>
      </c>
      <c r="AX54" s="5">
        <v>2</v>
      </c>
      <c r="AY54" s="199">
        <v>0</v>
      </c>
      <c r="AZ54" s="199">
        <v>0</v>
      </c>
      <c r="BA54" s="5">
        <v>309605.59999999998</v>
      </c>
      <c r="BB54" s="13">
        <v>1417654.68</v>
      </c>
      <c r="BC54" s="190">
        <f>MAX(ROUND(IF(F54&lt;4,IF(H54=0,(SUM(Y54:AD54)*Worksheet!$E$26+Y54*Worksheet!$E$27+AR54*Worksheet!$E$39)*-BaseRate,0)),2),MIN(0,-DI54))</f>
        <v>-458676.86</v>
      </c>
      <c r="BD54" s="190">
        <f>MAX(ROUND(IF(F54=4,0,IF(I54=0,0,ROUND(SUM(Y54:AD54)*Worksheet!$E$28,2)*-BaseRate)),2),MIN(0,-DI54-BC54))</f>
        <v>-10237.040000000001</v>
      </c>
      <c r="BE54" s="130">
        <f t="shared" si="23"/>
        <v>2522</v>
      </c>
      <c r="BF54" s="130">
        <f t="shared" si="24"/>
        <v>1408</v>
      </c>
      <c r="BG54" s="73"/>
      <c r="BH54" s="191">
        <f t="shared" si="25"/>
        <v>49973.91</v>
      </c>
      <c r="BI54" s="191">
        <f t="shared" si="26"/>
        <v>9646</v>
      </c>
      <c r="BJ54" s="232">
        <f>IFERROR(ROUND(IF(AND(BB54*1.12&lt;N54*60/1000,N54/CL54&lt;STVPP*0.2),(CL54*STVPP*0.2*Worksheet!$F$88/1000-BB54*1.12)*PropTaxAdj,IF(BB54*1.12&lt;N54*60/1000,(N54*60/1000-BB54*1.12)*PropTaxAdj,0)),2),0)</f>
        <v>0</v>
      </c>
      <c r="BK54" s="192">
        <f>ROUND(IF($F54=4,0,Y54*Worksheet!$E$16),2)</f>
        <v>3.43</v>
      </c>
      <c r="BL54" s="192">
        <f>ROUND(IF($F54=4,0,Z54*Worksheet!$E$17),2)</f>
        <v>34</v>
      </c>
      <c r="BM54" s="192">
        <f>ROUND(IF($F54=4,0,AA54*Worksheet!$E$18),2)</f>
        <v>197</v>
      </c>
      <c r="BN54" s="192">
        <f>ROUND(IF($F54=4,0,AB54*Worksheet!$E$19),2)</f>
        <v>64</v>
      </c>
      <c r="BO54" s="192">
        <f>ROUND(IF($F54=4,0,AC54*Worksheet!$E$20),2)</f>
        <v>143</v>
      </c>
      <c r="BP54" s="192">
        <f>ROUND(AD54*Worksheet!$E$21,2)</f>
        <v>0</v>
      </c>
      <c r="BQ54" s="192">
        <f t="shared" si="27"/>
        <v>441.43</v>
      </c>
      <c r="BR54" s="192">
        <f>ROUND(AD54*Worksheet!$E$25,2)</f>
        <v>0</v>
      </c>
      <c r="BS54" s="192">
        <f>ROUND(SUM(BQ54)*Worksheet!$E$26,2)</f>
        <v>38.85</v>
      </c>
      <c r="BT54" s="192">
        <f>ROUND(Y54*Worksheet!$E$27,2)</f>
        <v>0.57999999999999996</v>
      </c>
      <c r="BU54" s="192">
        <f>ROUND(AO54*Worksheet!$E$29,2)</f>
        <v>0</v>
      </c>
      <c r="BV54" s="192">
        <f>ROUND(AP54*Worksheet!$E$30,2)</f>
        <v>0</v>
      </c>
      <c r="BW54" s="192">
        <f>ROUND(IF($I54&lt;&gt;0,$BQ54*Worksheet!$E$28,0),2)</f>
        <v>0.88</v>
      </c>
      <c r="BX54" s="192">
        <f>ROUND(AE54*Worksheet!$E$31,2)</f>
        <v>0</v>
      </c>
      <c r="BY54" s="192">
        <f>ROUND(AF54*Worksheet!$E$32,2)</f>
        <v>0</v>
      </c>
      <c r="BZ54" s="192">
        <f>ROUND(AG54*Worksheet!$E$33,2)</f>
        <v>0.21</v>
      </c>
      <c r="CA54" s="192">
        <f>ROUND(ROUND(AH54*BQ54,2)*Worksheet!$E$34,2)</f>
        <v>2.87</v>
      </c>
      <c r="CB54" s="192">
        <f>ROUND(AI54*Worksheet!$E$35,2)</f>
        <v>0</v>
      </c>
      <c r="CC54" s="192">
        <f>ROUND(AJ54*Worksheet!$E$36,2)</f>
        <v>0</v>
      </c>
      <c r="CD54" s="192">
        <f>ROUND(AQ54*Worksheet!$E$38,2)</f>
        <v>16.61</v>
      </c>
      <c r="CE54" s="192">
        <f>ROUND(AR54*Worksheet!$E$39,2)</f>
        <v>0</v>
      </c>
      <c r="CF54" s="192">
        <f>IF(AND(L54&gt;275,SUM(Y54:AD54)&lt;100),ROUND(SUM(Y54:AD54)*Worksheet!$E$41,2),0)</f>
        <v>0</v>
      </c>
      <c r="CG54" s="192">
        <f>IF(AND(L54&gt;600,SUM(Y54:AD54)&lt;50),ROUND((50-SUM(Y54:AD54))*(Worksheet!$E$41+1),2),0)</f>
        <v>0</v>
      </c>
      <c r="CH54" s="192">
        <f t="shared" si="28"/>
        <v>501.43</v>
      </c>
      <c r="CI54" s="116">
        <f t="shared" si="43"/>
        <v>0</v>
      </c>
      <c r="CJ54" s="116">
        <f t="shared" si="44"/>
        <v>501.43</v>
      </c>
      <c r="CK54" s="95">
        <f t="shared" si="29"/>
        <v>1.02</v>
      </c>
      <c r="CL54" s="116">
        <f t="shared" si="45"/>
        <v>511.46</v>
      </c>
      <c r="CM54" s="116">
        <f t="shared" si="46"/>
        <v>511.46</v>
      </c>
      <c r="CN54" s="116">
        <f t="shared" si="30"/>
        <v>5949814.1799999997</v>
      </c>
      <c r="CO54" s="131">
        <f>ROUND(IF(F54=4,0,(MAX(ROUND(MAX((BI54*MIN(CL54,K54)*Worksheet!$D$126)+MAX(CL54-K54,0)*Worksheet!$F$50,SUM(J54)),2),SUM(CN54))-SUM(CN54))*MinAdj),2)</f>
        <v>0</v>
      </c>
      <c r="CP54" s="192">
        <f t="shared" si="31"/>
        <v>5949814.1799999997</v>
      </c>
      <c r="CQ54" s="131">
        <f>IF(CL54=0,0,-MIN(CP54,MIN(CP54,ROUND(IF(ROUND(IF(CL54=0,0,N54/CL54),2)&lt;STVPP*0.2,STVPP*0.2*CL54*Worksheet!$F$88/1000,N54*Worksheet!$F$88/1000),2))))</f>
        <v>-1533579.24</v>
      </c>
      <c r="CR54" s="193">
        <f>-MIN(SUM(CP54,CQ54),IF($P54=0,(ROUND(Worksheet!$E$77*S54,2)+ROUND(Worksheet!$E$78*T54,2)+ROUND(Worksheet!$E$79*U54,2)+ROUND(Worksheet!$E$80*V54,2)+ROUND(Worksheet!$E$81*W54,2)+ROUND(Worksheet!$E$82*X54,2)),(ROUND(ROUND(S54*ROUND((1-$O54/$P54),4),2)*Worksheet!$E$77,2)+ROUND(ROUND(T54*ROUND((1-$O54/$P54),4),2)*Worksheet!$E$78,2)+ROUND(ROUND(U54*ROUND((1-$O54/$P54),4),2)*Worksheet!$E$79,2)+ROUND(ROUND(V54*ROUND((1-$O54/$P54),4),2)*Worksheet!$E$80,2)+ROUND(ROUND(W54*ROUND((1-$O54/$P54),4),2)*Worksheet!$E$81,2)+ROUND(ROUND(X54*ROUND((1-$O54/$P54),4),2)*Worksheet!$E$82,2))))</f>
        <v>-46255.82</v>
      </c>
      <c r="CS54" s="192">
        <f t="shared" si="32"/>
        <v>4369979.1199999992</v>
      </c>
      <c r="CT54" s="116">
        <f>ROUND(MIN(BA54,ROUND((ROUND(AS54*Worksheet!$E$104,2)+ROUND(AV54*Worksheet!$E$107,2)+ROUND(AT54*Worksheet!$E$105,2)+ROUND(AW54*Worksheet!$E$108,2)+ROUND(AU54*Worksheet!$E$106,2)+ROUND(AX54*Worksheet!$E$109,2)+ROUND(AY54*Worksheet!$E$110,2)+ROUND(AZ54*Worksheet!$E$111,2))*Worksheet!$D$114,2))*BaseRate,2)</f>
        <v>160302.74</v>
      </c>
      <c r="CU54" s="121">
        <v>0</v>
      </c>
      <c r="CV54" s="121">
        <v>0</v>
      </c>
      <c r="CW54" s="121">
        <v>0</v>
      </c>
      <c r="CX54" s="121">
        <v>0</v>
      </c>
      <c r="CY54" s="121">
        <v>0</v>
      </c>
      <c r="DA54" s="192">
        <f t="shared" si="33"/>
        <v>0</v>
      </c>
      <c r="DB54" s="192">
        <f>MAX(-CT54,MIN(0,ROUND($R54*EFBPercent+EFBAdd,2)-$Q54),MIN(0,SUM($CS54:CS54)+MIN(0,ROUND($R54*EFBPercent+EFBAdd,2)-$Q54)))</f>
        <v>0</v>
      </c>
      <c r="DC54" s="192">
        <f>IF(CU54&lt;0,0,MAX(-CU54,MIN(0,ROUND($R54*EFBPercent+EFBAdd,2)-$Q54),MIN(0,SUM($CS54:CT54)+MIN(0,ROUND($R54*EFBPercent+EFBAdd,2)-$Q54))))</f>
        <v>0</v>
      </c>
      <c r="DD54" s="192">
        <f>IF(CV54&lt;0,0,MAX(-CV54,MIN(0,ROUND($R54*EFBPercent+EFBAdd,2)-$Q54),MIN(0,SUM($CS54:CU54)+MIN(0,ROUND($R54*EFBPercent+EFBAdd,2)-$Q54))))</f>
        <v>0</v>
      </c>
      <c r="DE54" s="192">
        <f>IF(CW54&lt;0,0,MAX(-CW54,MIN(0,ROUND($R54*EFBPercent+EFBAdd,2)-$Q54),MIN(0,SUM($CS54:CV54)+MIN(0,ROUND($R54*EFBPercent+EFBAdd,2)-$Q54))))</f>
        <v>0</v>
      </c>
      <c r="DF54" s="192">
        <f>IF(CX54&lt;0,0,MAX(-CX54,MIN(0,ROUND($R54*EFBPercent+EFBAdd,2)-$Q54),MIN(0,SUM($CS54:CW54)+MIN(0,ROUND($R54*EFBPercent+EFBAdd,2)-$Q54))))</f>
        <v>0</v>
      </c>
      <c r="DG54" s="192">
        <f>MAX(-CY54,MIN(0,ROUND($R54*EFBPercent+EFBAdd,2)-$Q54),MIN(0,SUM($CS54:CX54)+MIN(0,ROUND($R54*EFBPercent+EFBAdd,2)-$Q54)))</f>
        <v>0</v>
      </c>
      <c r="DI54" s="73">
        <f t="shared" si="34"/>
        <v>4369979.1199999992</v>
      </c>
      <c r="DJ54" s="73">
        <f t="shared" si="35"/>
        <v>160302.74</v>
      </c>
      <c r="DK54" s="73">
        <f t="shared" si="36"/>
        <v>0</v>
      </c>
      <c r="DL54" s="73">
        <f t="shared" si="37"/>
        <v>0</v>
      </c>
      <c r="DM54" s="73">
        <f t="shared" si="38"/>
        <v>0</v>
      </c>
      <c r="DN54" s="73">
        <f t="shared" si="39"/>
        <v>0</v>
      </c>
      <c r="DO54" s="73">
        <f t="shared" si="40"/>
        <v>0</v>
      </c>
      <c r="DP54" s="73"/>
      <c r="DQ54" s="73"/>
    </row>
    <row r="55" spans="1:121" ht="10.199999999999999" x14ac:dyDescent="0.2">
      <c r="A55" s="4" t="s">
        <v>534</v>
      </c>
      <c r="B55" s="188">
        <v>1027</v>
      </c>
      <c r="C55" s="189" t="s">
        <v>60</v>
      </c>
      <c r="D55" s="4">
        <v>2027</v>
      </c>
      <c r="E55" s="4" t="s">
        <v>376</v>
      </c>
      <c r="F55" s="4">
        <v>1</v>
      </c>
      <c r="G55" s="4" t="s">
        <v>673</v>
      </c>
      <c r="H55" s="4">
        <v>100</v>
      </c>
      <c r="I55" s="4" t="s">
        <v>1152</v>
      </c>
      <c r="J55" s="5">
        <v>4239300.82</v>
      </c>
      <c r="K55" s="5">
        <v>428.92</v>
      </c>
      <c r="L55" s="5">
        <v>1031.5</v>
      </c>
      <c r="M55" s="5">
        <v>0</v>
      </c>
      <c r="N55" s="5">
        <v>33389815</v>
      </c>
      <c r="O55" s="5">
        <v>21.76</v>
      </c>
      <c r="P55" s="5">
        <v>117.67999999999999</v>
      </c>
      <c r="Q55" s="5">
        <v>0</v>
      </c>
      <c r="R55" s="5">
        <v>0</v>
      </c>
      <c r="S55" s="5">
        <v>0</v>
      </c>
      <c r="T55" s="5">
        <v>2284211.9500000002</v>
      </c>
      <c r="U55" s="5">
        <v>0</v>
      </c>
      <c r="V55" s="5">
        <v>54495.62</v>
      </c>
      <c r="W55" s="5">
        <v>350991.57000000007</v>
      </c>
      <c r="X55" s="5">
        <v>19460.64</v>
      </c>
      <c r="Y55" s="5">
        <v>0.78</v>
      </c>
      <c r="Z55" s="5">
        <v>2</v>
      </c>
      <c r="AA55" s="5">
        <v>181.35</v>
      </c>
      <c r="AB55" s="5">
        <v>63.87</v>
      </c>
      <c r="AC55" s="5">
        <v>105</v>
      </c>
      <c r="AD55" s="5">
        <v>0</v>
      </c>
      <c r="AE55" s="5">
        <v>0</v>
      </c>
      <c r="AF55" s="5">
        <v>0</v>
      </c>
      <c r="AG55" s="5">
        <v>0</v>
      </c>
      <c r="AH55" s="5">
        <v>0.27600000000000002</v>
      </c>
      <c r="AI55" s="5">
        <v>0</v>
      </c>
      <c r="AJ55" s="5">
        <v>0</v>
      </c>
      <c r="AK55" s="5">
        <v>0</v>
      </c>
      <c r="AL55" s="5">
        <v>318.5</v>
      </c>
      <c r="AM55" s="5">
        <v>0</v>
      </c>
      <c r="AN55" s="5">
        <v>347</v>
      </c>
      <c r="AO55" s="5">
        <f t="shared" si="41"/>
        <v>0</v>
      </c>
      <c r="AP55" s="5">
        <f t="shared" si="74"/>
        <v>0</v>
      </c>
      <c r="AQ55" s="5">
        <v>1.38</v>
      </c>
      <c r="AR55" s="5">
        <v>0</v>
      </c>
      <c r="AS55" s="5">
        <v>1296</v>
      </c>
      <c r="AT55" s="5">
        <v>137112</v>
      </c>
      <c r="AU55" s="5">
        <v>288</v>
      </c>
      <c r="AV55" s="5">
        <v>2088</v>
      </c>
      <c r="AW55" s="5">
        <v>1031.5</v>
      </c>
      <c r="AX55" s="5">
        <v>2</v>
      </c>
      <c r="AY55" s="199">
        <v>0</v>
      </c>
      <c r="AZ55" s="199">
        <v>0</v>
      </c>
      <c r="BA55" s="5">
        <v>488383.73</v>
      </c>
      <c r="BB55" s="13">
        <v>1992872.82</v>
      </c>
      <c r="BC55" s="190">
        <f>MAX(ROUND(IF(F55&lt;4,IF(H55=0,(SUM(Y55:AD55)*Worksheet!$E$26+Y55*Worksheet!$E$27+AR55*Worksheet!$E$39)*-BaseRate,0)),2),MIN(0,-DI55))</f>
        <v>0</v>
      </c>
      <c r="BD55" s="190">
        <f>MAX(ROUND(IF(F55=4,0,IF(I55=0,0,ROUND(SUM(Y55:AD55)*Worksheet!$E$28,2)*-BaseRate)),2),MIN(0,-DI55-BC55))</f>
        <v>-8259.43</v>
      </c>
      <c r="BE55" s="130">
        <f t="shared" si="23"/>
        <v>0</v>
      </c>
      <c r="BF55" s="130">
        <f t="shared" si="24"/>
        <v>1412</v>
      </c>
      <c r="BG55" s="73"/>
      <c r="BH55" s="191">
        <f t="shared" si="25"/>
        <v>80331.570000000007</v>
      </c>
      <c r="BI55" s="191">
        <f t="shared" si="26"/>
        <v>9883.66</v>
      </c>
      <c r="BJ55" s="232">
        <f>IFERROR(ROUND(IF(AND(BB55*1.12&lt;N55*60/1000,N55/CL55&lt;STVPP*0.2),(CL55*STVPP*0.2*Worksheet!$F$88/1000-BB55*1.12)*PropTaxAdj,IF(BB55*1.12&lt;N55*60/1000,(N55*60/1000-BB55*1.12)*PropTaxAdj,0)),2),0)</f>
        <v>0</v>
      </c>
      <c r="BK55" s="192">
        <f>ROUND(IF($F55=4,0,Y55*Worksheet!$E$16),2)</f>
        <v>0.78</v>
      </c>
      <c r="BL55" s="192">
        <f>ROUND(IF($F55=4,0,Z55*Worksheet!$E$17),2)</f>
        <v>2</v>
      </c>
      <c r="BM55" s="192">
        <f>ROUND(IF($F55=4,0,AA55*Worksheet!$E$18),2)</f>
        <v>181.35</v>
      </c>
      <c r="BN55" s="192">
        <f>ROUND(IF($F55=4,0,AB55*Worksheet!$E$19),2)</f>
        <v>63.87</v>
      </c>
      <c r="BO55" s="192">
        <f>ROUND(IF($F55=4,0,AC55*Worksheet!$E$20),2)</f>
        <v>105</v>
      </c>
      <c r="BP55" s="192">
        <f>ROUND(AD55*Worksheet!$E$21,2)</f>
        <v>0</v>
      </c>
      <c r="BQ55" s="192">
        <f t="shared" si="27"/>
        <v>353</v>
      </c>
      <c r="BR55" s="192">
        <f>ROUND(AD55*Worksheet!$E$25,2)</f>
        <v>0</v>
      </c>
      <c r="BS55" s="192">
        <f>ROUND(SUM(BQ55)*Worksheet!$E$26,2)</f>
        <v>31.06</v>
      </c>
      <c r="BT55" s="192">
        <f>ROUND(Y55*Worksheet!$E$27,2)</f>
        <v>0.13</v>
      </c>
      <c r="BU55" s="192">
        <f>ROUND(AO55*Worksheet!$E$29,2)</f>
        <v>0</v>
      </c>
      <c r="BV55" s="192">
        <f>ROUND(AP55*Worksheet!$E$30,2)</f>
        <v>0</v>
      </c>
      <c r="BW55" s="192">
        <f>ROUND(IF($I55&lt;&gt;0,$BQ55*Worksheet!$E$28,0),2)</f>
        <v>0.71</v>
      </c>
      <c r="BX55" s="192">
        <f>ROUND(AE55*Worksheet!$E$31,2)</f>
        <v>0</v>
      </c>
      <c r="BY55" s="192">
        <f>ROUND(AF55*Worksheet!$E$32,2)</f>
        <v>0</v>
      </c>
      <c r="BZ55" s="192">
        <f>ROUND(AG55*Worksheet!$E$33,2)</f>
        <v>0</v>
      </c>
      <c r="CA55" s="192">
        <f>ROUND(ROUND(AH55*BQ55,2)*Worksheet!$E$34,2)</f>
        <v>2.44</v>
      </c>
      <c r="CB55" s="192">
        <f>ROUND(AI55*Worksheet!$E$35,2)</f>
        <v>0</v>
      </c>
      <c r="CC55" s="192">
        <f>ROUND(AJ55*Worksheet!$E$36,2)</f>
        <v>0</v>
      </c>
      <c r="CD55" s="192">
        <f>ROUND(AQ55*Worksheet!$E$38,2)</f>
        <v>0.83</v>
      </c>
      <c r="CE55" s="192">
        <f>ROUND(AR55*Worksheet!$E$39,2)</f>
        <v>0</v>
      </c>
      <c r="CF55" s="192">
        <f>IF(AND(L55&gt;275,SUM(Y55:AD55)&lt;100),ROUND(SUM(Y55:AD55)*Worksheet!$E$41,2),0)</f>
        <v>0</v>
      </c>
      <c r="CG55" s="192">
        <f>IF(AND(L55&gt;600,SUM(Y55:AD55)&lt;50),ROUND((50-SUM(Y55:AD55))*(Worksheet!$E$41+1),2),0)</f>
        <v>0</v>
      </c>
      <c r="CH55" s="192">
        <f t="shared" si="28"/>
        <v>388.16999999999996</v>
      </c>
      <c r="CI55" s="116">
        <f t="shared" si="43"/>
        <v>0</v>
      </c>
      <c r="CJ55" s="116">
        <f t="shared" si="44"/>
        <v>388.16999999999996</v>
      </c>
      <c r="CK55" s="95">
        <f t="shared" si="29"/>
        <v>1.0708</v>
      </c>
      <c r="CL55" s="116">
        <f t="shared" si="45"/>
        <v>415.65</v>
      </c>
      <c r="CM55" s="116">
        <f t="shared" si="46"/>
        <v>415.65</v>
      </c>
      <c r="CN55" s="116">
        <f t="shared" si="30"/>
        <v>4835256.45</v>
      </c>
      <c r="CO55" s="131">
        <f>ROUND(IF(F55=4,0,(MAX(ROUND(MAX((BI55*MIN(CL55,K55)*Worksheet!$D$126)+MAX(CL55-K55,0)*Worksheet!$F$50,SUM(J55)),2),SUM(CN55))-SUM(CN55))*MinAdj),2)</f>
        <v>0</v>
      </c>
      <c r="CP55" s="192">
        <f t="shared" si="31"/>
        <v>4835256.45</v>
      </c>
      <c r="CQ55" s="131">
        <f>IF(CL55=0,0,-MIN(CP55,MIN(CP55,ROUND(IF(ROUND(IF(CL55=0,0,N55/CL55),2)&lt;STVPP*0.2,STVPP*0.2*CL55*Worksheet!$F$88/1000,N55*Worksheet!$F$88/1000),2))))</f>
        <v>-2003388.9</v>
      </c>
      <c r="CR55" s="193">
        <f>-MIN(SUM(CP55,CQ55),IF($P55=0,(ROUND(Worksheet!$E$77*S55,2)+ROUND(Worksheet!$E$78*T55,2)+ROUND(Worksheet!$E$79*U55,2)+ROUND(Worksheet!$E$80*V55,2)+ROUND(Worksheet!$E$81*W55,2)+ROUND(Worksheet!$E$82*X55,2)),(ROUND(ROUND(S55*ROUND((1-$O55/$P55),4),2)*Worksheet!$E$77,2)+ROUND(ROUND(T55*ROUND((1-$O55/$P55),4),2)*Worksheet!$E$78,2)+ROUND(ROUND(U55*ROUND((1-$O55/$P55),4),2)*Worksheet!$E$79,2)+ROUND(ROUND(V55*ROUND((1-$O55/$P55),4),2)*Worksheet!$E$80,2)+ROUND(ROUND(W55*ROUND((1-$O55/$P55),4),2)*Worksheet!$E$81,2)+ROUND(ROUND(X55*ROUND((1-$O55/$P55),4),2)*Worksheet!$E$82,2))))</f>
        <v>-1656177.11</v>
      </c>
      <c r="CS55" s="192">
        <f t="shared" si="32"/>
        <v>1175690.4400000002</v>
      </c>
      <c r="CT55" s="116">
        <f>ROUND(MIN(BA55,ROUND((ROUND(AS55*Worksheet!$E$104,2)+ROUND(AV55*Worksheet!$E$107,2)+ROUND(AT55*Worksheet!$E$105,2)+ROUND(AW55*Worksheet!$E$108,2)+ROUND(AU55*Worksheet!$E$106,2)+ROUND(AX55*Worksheet!$E$109,2)+ROUND(AY55*Worksheet!$E$110,2)+ROUND(AZ55*Worksheet!$E$111,2))*Worksheet!$D$114,2))*BaseRate,2)</f>
        <v>201250.9</v>
      </c>
      <c r="CU55" s="121">
        <v>0</v>
      </c>
      <c r="CV55" s="121">
        <v>0</v>
      </c>
      <c r="CW55" s="121">
        <v>0</v>
      </c>
      <c r="CX55" s="121">
        <v>0</v>
      </c>
      <c r="CY55" s="121">
        <v>0</v>
      </c>
      <c r="DA55" s="192">
        <f t="shared" si="33"/>
        <v>0</v>
      </c>
      <c r="DB55" s="192">
        <f>MAX(-CT55,MIN(0,ROUND($R55*EFBPercent+EFBAdd,2)-$Q55),MIN(0,SUM($CS55:CS55)+MIN(0,ROUND($R55*EFBPercent+EFBAdd,2)-$Q55)))</f>
        <v>0</v>
      </c>
      <c r="DC55" s="192">
        <f>IF(CU55&lt;0,0,MAX(-CU55,MIN(0,ROUND($R55*EFBPercent+EFBAdd,2)-$Q55),MIN(0,SUM($CS55:CT55)+MIN(0,ROUND($R55*EFBPercent+EFBAdd,2)-$Q55))))</f>
        <v>0</v>
      </c>
      <c r="DD55" s="192">
        <f>IF(CV55&lt;0,0,MAX(-CV55,MIN(0,ROUND($R55*EFBPercent+EFBAdd,2)-$Q55),MIN(0,SUM($CS55:CU55)+MIN(0,ROUND($R55*EFBPercent+EFBAdd,2)-$Q55))))</f>
        <v>0</v>
      </c>
      <c r="DE55" s="192">
        <f>IF(CW55&lt;0,0,MAX(-CW55,MIN(0,ROUND($R55*EFBPercent+EFBAdd,2)-$Q55),MIN(0,SUM($CS55:CV55)+MIN(0,ROUND($R55*EFBPercent+EFBAdd,2)-$Q55))))</f>
        <v>0</v>
      </c>
      <c r="DF55" s="192">
        <f>IF(CX55&lt;0,0,MAX(-CX55,MIN(0,ROUND($R55*EFBPercent+EFBAdd,2)-$Q55),MIN(0,SUM($CS55:CW55)+MIN(0,ROUND($R55*EFBPercent+EFBAdd,2)-$Q55))))</f>
        <v>0</v>
      </c>
      <c r="DG55" s="192">
        <f>MAX(-CY55,MIN(0,ROUND($R55*EFBPercent+EFBAdd,2)-$Q55),MIN(0,SUM($CS55:CX55)+MIN(0,ROUND($R55*EFBPercent+EFBAdd,2)-$Q55)))</f>
        <v>0</v>
      </c>
      <c r="DI55" s="73">
        <f t="shared" si="34"/>
        <v>1175690.4400000002</v>
      </c>
      <c r="DJ55" s="73">
        <f t="shared" si="35"/>
        <v>201250.9</v>
      </c>
      <c r="DK55" s="73">
        <f t="shared" si="36"/>
        <v>0</v>
      </c>
      <c r="DL55" s="73">
        <f t="shared" si="37"/>
        <v>0</v>
      </c>
      <c r="DM55" s="73">
        <f t="shared" si="38"/>
        <v>0</v>
      </c>
      <c r="DN55" s="73">
        <f t="shared" si="39"/>
        <v>0</v>
      </c>
      <c r="DO55" s="73">
        <f t="shared" si="40"/>
        <v>0</v>
      </c>
      <c r="DP55" s="73"/>
      <c r="DQ55" s="73"/>
    </row>
    <row r="56" spans="1:121" ht="10.199999999999999" x14ac:dyDescent="0.2">
      <c r="A56" s="4" t="s">
        <v>535</v>
      </c>
      <c r="B56" s="188">
        <v>1073</v>
      </c>
      <c r="C56" s="189" t="s">
        <v>61</v>
      </c>
      <c r="D56" s="4">
        <v>2027</v>
      </c>
      <c r="E56" s="4" t="s">
        <v>377</v>
      </c>
      <c r="F56" s="4">
        <v>1</v>
      </c>
      <c r="G56" s="4" t="s">
        <v>680</v>
      </c>
      <c r="H56" s="4">
        <v>100</v>
      </c>
      <c r="I56" s="4" t="s">
        <v>1152</v>
      </c>
      <c r="J56" s="5">
        <v>6737574.7199999997</v>
      </c>
      <c r="K56" s="5">
        <v>591.34</v>
      </c>
      <c r="L56" s="5">
        <v>1049</v>
      </c>
      <c r="M56" s="5">
        <v>0</v>
      </c>
      <c r="N56" s="5">
        <v>79780595</v>
      </c>
      <c r="O56" s="5">
        <v>20</v>
      </c>
      <c r="P56" s="5">
        <v>89.6</v>
      </c>
      <c r="Q56" s="5">
        <v>0</v>
      </c>
      <c r="R56" s="5">
        <v>0</v>
      </c>
      <c r="S56" s="5">
        <v>285943.19999999995</v>
      </c>
      <c r="T56" s="5">
        <v>2117002.0999999996</v>
      </c>
      <c r="U56" s="5">
        <v>692246.05</v>
      </c>
      <c r="V56" s="5">
        <v>0</v>
      </c>
      <c r="W56" s="5">
        <v>28557.359999999997</v>
      </c>
      <c r="X56" s="5">
        <v>12389.62</v>
      </c>
      <c r="Y56" s="5">
        <v>6.51</v>
      </c>
      <c r="Z56" s="5">
        <v>51</v>
      </c>
      <c r="AA56" s="5">
        <v>254</v>
      </c>
      <c r="AB56" s="5">
        <v>86</v>
      </c>
      <c r="AC56" s="5">
        <v>155</v>
      </c>
      <c r="AD56" s="5">
        <v>0</v>
      </c>
      <c r="AE56" s="5">
        <v>1</v>
      </c>
      <c r="AF56" s="5">
        <v>5.379999999999999</v>
      </c>
      <c r="AG56" s="5">
        <v>7</v>
      </c>
      <c r="AH56" s="5">
        <v>0.26800000000000002</v>
      </c>
      <c r="AI56" s="5">
        <v>0</v>
      </c>
      <c r="AJ56" s="5">
        <v>0</v>
      </c>
      <c r="AK56" s="5">
        <v>0</v>
      </c>
      <c r="AL56" s="5">
        <v>543.98</v>
      </c>
      <c r="AM56" s="5">
        <v>0</v>
      </c>
      <c r="AN56" s="5">
        <v>546</v>
      </c>
      <c r="AO56" s="5">
        <f t="shared" si="41"/>
        <v>0</v>
      </c>
      <c r="AP56" s="5">
        <f t="shared" si="74"/>
        <v>0</v>
      </c>
      <c r="AQ56" s="5">
        <v>7.37</v>
      </c>
      <c r="AR56" s="5">
        <v>0</v>
      </c>
      <c r="AS56" s="5">
        <v>0</v>
      </c>
      <c r="AT56" s="5">
        <v>180600</v>
      </c>
      <c r="AU56" s="5">
        <v>0</v>
      </c>
      <c r="AV56" s="5">
        <v>3500</v>
      </c>
      <c r="AW56" s="5">
        <v>1049</v>
      </c>
      <c r="AX56" s="5">
        <v>2</v>
      </c>
      <c r="AY56" s="199">
        <v>0</v>
      </c>
      <c r="AZ56" s="199">
        <v>0</v>
      </c>
      <c r="BA56" s="5">
        <v>818931.68</v>
      </c>
      <c r="BB56" s="13">
        <v>4462605.78</v>
      </c>
      <c r="BC56" s="190">
        <f>MAX(ROUND(IF(F56&lt;4,IF(H56=0,(SUM(Y56:AD56)*Worksheet!$E$26+Y56*Worksheet!$E$27+AR56*Worksheet!$E$39)*-BaseRate,0)),2),MIN(0,-DI56))</f>
        <v>0</v>
      </c>
      <c r="BD56" s="190">
        <f>MAX(ROUND(IF(F56=4,0,IF(I56=0,0,ROUND(SUM(Y56:AD56)*Worksheet!$E$28,2)*-BaseRate)),2),MIN(0,-DI56-BC56))</f>
        <v>-12912.63</v>
      </c>
      <c r="BE56" s="130">
        <f t="shared" si="23"/>
        <v>0</v>
      </c>
      <c r="BF56" s="130">
        <f t="shared" si="24"/>
        <v>1412</v>
      </c>
      <c r="BG56" s="73"/>
      <c r="BH56" s="191">
        <f t="shared" si="25"/>
        <v>127414.51</v>
      </c>
      <c r="BI56" s="191">
        <f t="shared" si="26"/>
        <v>11393.74</v>
      </c>
      <c r="BJ56" s="232">
        <f>IFERROR(ROUND(IF(AND(BB56*1.12&lt;N56*60/1000,N56/CL56&lt;STVPP*0.2),(CL56*STVPP*0.2*Worksheet!$F$88/1000-BB56*1.12)*PropTaxAdj,IF(BB56*1.12&lt;N56*60/1000,(N56*60/1000-BB56*1.12)*PropTaxAdj,0)),2),0)</f>
        <v>0</v>
      </c>
      <c r="BK56" s="192">
        <f>ROUND(IF($F56=4,0,Y56*Worksheet!$E$16),2)</f>
        <v>6.51</v>
      </c>
      <c r="BL56" s="192">
        <f>ROUND(IF($F56=4,0,Z56*Worksheet!$E$17),2)</f>
        <v>51</v>
      </c>
      <c r="BM56" s="192">
        <f>ROUND(IF($F56=4,0,AA56*Worksheet!$E$18),2)</f>
        <v>254</v>
      </c>
      <c r="BN56" s="192">
        <f>ROUND(IF($F56=4,0,AB56*Worksheet!$E$19),2)</f>
        <v>86</v>
      </c>
      <c r="BO56" s="192">
        <f>ROUND(IF($F56=4,0,AC56*Worksheet!$E$20),2)</f>
        <v>155</v>
      </c>
      <c r="BP56" s="192">
        <f>ROUND(AD56*Worksheet!$E$21,2)</f>
        <v>0</v>
      </c>
      <c r="BQ56" s="192">
        <f t="shared" si="27"/>
        <v>552.51</v>
      </c>
      <c r="BR56" s="192">
        <f>ROUND(AD56*Worksheet!$E$25,2)</f>
        <v>0</v>
      </c>
      <c r="BS56" s="192">
        <f>ROUND(SUM(BQ56)*Worksheet!$E$26,2)</f>
        <v>48.62</v>
      </c>
      <c r="BT56" s="192">
        <f>ROUND(Y56*Worksheet!$E$27,2)</f>
        <v>1.1100000000000001</v>
      </c>
      <c r="BU56" s="192">
        <f>ROUND(AO56*Worksheet!$E$29,2)</f>
        <v>0</v>
      </c>
      <c r="BV56" s="192">
        <f>ROUND(AP56*Worksheet!$E$30,2)</f>
        <v>0</v>
      </c>
      <c r="BW56" s="192">
        <f>ROUND(IF($I56&lt;&gt;0,$BQ56*Worksheet!$E$28,0),2)</f>
        <v>1.1100000000000001</v>
      </c>
      <c r="BX56" s="192">
        <f>ROUND(AE56*Worksheet!$E$31,2)</f>
        <v>0.4</v>
      </c>
      <c r="BY56" s="192">
        <f>ROUND(AF56*Worksheet!$E$32,2)</f>
        <v>1.51</v>
      </c>
      <c r="BZ56" s="192">
        <f>ROUND(AG56*Worksheet!$E$33,2)</f>
        <v>0.49</v>
      </c>
      <c r="CA56" s="192">
        <f>ROUND(ROUND(AH56*BQ56,2)*Worksheet!$E$34,2)</f>
        <v>3.7</v>
      </c>
      <c r="CB56" s="192">
        <f>ROUND(AI56*Worksheet!$E$35,2)</f>
        <v>0</v>
      </c>
      <c r="CC56" s="192">
        <f>ROUND(AJ56*Worksheet!$E$36,2)</f>
        <v>0</v>
      </c>
      <c r="CD56" s="192">
        <f>ROUND(AQ56*Worksheet!$E$38,2)</f>
        <v>4.42</v>
      </c>
      <c r="CE56" s="192">
        <f>ROUND(AR56*Worksheet!$E$39,2)</f>
        <v>0</v>
      </c>
      <c r="CF56" s="192">
        <f>IF(AND(L56&gt;275,SUM(Y56:AD56)&lt;100),ROUND(SUM(Y56:AD56)*Worksheet!$E$41,2),0)</f>
        <v>0</v>
      </c>
      <c r="CG56" s="192">
        <f>IF(AND(L56&gt;600,SUM(Y56:AD56)&lt;50),ROUND((50-SUM(Y56:AD56))*(Worksheet!$E$41+1),2),0)</f>
        <v>0</v>
      </c>
      <c r="CH56" s="192">
        <f t="shared" si="28"/>
        <v>613.87</v>
      </c>
      <c r="CI56" s="116">
        <f t="shared" si="43"/>
        <v>0</v>
      </c>
      <c r="CJ56" s="116">
        <f t="shared" si="44"/>
        <v>613.87</v>
      </c>
      <c r="CK56" s="95">
        <f t="shared" si="29"/>
        <v>1.02</v>
      </c>
      <c r="CL56" s="116">
        <f t="shared" si="45"/>
        <v>626.15</v>
      </c>
      <c r="CM56" s="116">
        <f t="shared" si="46"/>
        <v>626.15</v>
      </c>
      <c r="CN56" s="116">
        <f t="shared" si="30"/>
        <v>7284002.9500000002</v>
      </c>
      <c r="CO56" s="131">
        <f>ROUND(IF(F56=4,0,(MAX(ROUND(MAX((BI56*MIN(CL56,K56)*Worksheet!$D$126)+MAX(CL56-K56,0)*Worksheet!$F$50,SUM(J56)),2),SUM(CN56))-SUM(CN56))*MinAdj),2)</f>
        <v>0</v>
      </c>
      <c r="CP56" s="192">
        <f t="shared" si="31"/>
        <v>7284002.9500000002</v>
      </c>
      <c r="CQ56" s="131">
        <f>IF(CL56=0,0,-MIN(CP56,MIN(CP56,ROUND(IF(ROUND(IF(CL56=0,0,N56/CL56),2)&lt;STVPP*0.2,STVPP*0.2*CL56*Worksheet!$F$88/1000,N56*Worksheet!$F$88/1000),2))))</f>
        <v>-4786835.7</v>
      </c>
      <c r="CR56" s="193">
        <f>-MIN(SUM(CP56,CQ56),IF($P56=0,(ROUND(Worksheet!$E$77*S56,2)+ROUND(Worksheet!$E$78*T56,2)+ROUND(Worksheet!$E$79*U56,2)+ROUND(Worksheet!$E$80*V56,2)+ROUND(Worksheet!$E$81*W56,2)+ROUND(Worksheet!$E$82*X56,2)),(ROUND(ROUND(S56*ROUND((1-$O56/$P56),4),2)*Worksheet!$E$77,2)+ROUND(ROUND(T56*ROUND((1-$O56/$P56),4),2)*Worksheet!$E$78,2)+ROUND(ROUND(U56*ROUND((1-$O56/$P56),4),2)*Worksheet!$E$79,2)+ROUND(ROUND(V56*ROUND((1-$O56/$P56),4),2)*Worksheet!$E$80,2)+ROUND(ROUND(W56*ROUND((1-$O56/$P56),4),2)*Worksheet!$E$81,2)+ROUND(ROUND(X56*ROUND((1-$O56/$P56),4),2)*Worksheet!$E$82,2))))</f>
        <v>-1827114.2</v>
      </c>
      <c r="CS56" s="192">
        <f t="shared" si="32"/>
        <v>670053.05000000005</v>
      </c>
      <c r="CT56" s="116">
        <f>ROUND(MIN(BA56,ROUND((ROUND(AS56*Worksheet!$E$104,2)+ROUND(AV56*Worksheet!$E$107,2)+ROUND(AT56*Worksheet!$E$105,2)+ROUND(AW56*Worksheet!$E$108,2)+ROUND(AU56*Worksheet!$E$106,2)+ROUND(AX56*Worksheet!$E$109,2)+ROUND(AY56*Worksheet!$E$110,2)+ROUND(AZ56*Worksheet!$E$111,2))*Worksheet!$D$114,2))*BaseRate,2)</f>
        <v>264883.40999999997</v>
      </c>
      <c r="CU56" s="121">
        <v>0</v>
      </c>
      <c r="CV56" s="121">
        <v>0</v>
      </c>
      <c r="CW56" s="121">
        <v>0</v>
      </c>
      <c r="CX56" s="121">
        <v>0</v>
      </c>
      <c r="CY56" s="121">
        <v>0</v>
      </c>
      <c r="DA56" s="192">
        <f t="shared" si="33"/>
        <v>0</v>
      </c>
      <c r="DB56" s="192">
        <f>MAX(-CT56,MIN(0,ROUND($R56*EFBPercent+EFBAdd,2)-$Q56),MIN(0,SUM($CS56:CS56)+MIN(0,ROUND($R56*EFBPercent+EFBAdd,2)-$Q56)))</f>
        <v>0</v>
      </c>
      <c r="DC56" s="192">
        <f>IF(CU56&lt;0,0,MAX(-CU56,MIN(0,ROUND($R56*EFBPercent+EFBAdd,2)-$Q56),MIN(0,SUM($CS56:CT56)+MIN(0,ROUND($R56*EFBPercent+EFBAdd,2)-$Q56))))</f>
        <v>0</v>
      </c>
      <c r="DD56" s="192">
        <f>IF(CV56&lt;0,0,MAX(-CV56,MIN(0,ROUND($R56*EFBPercent+EFBAdd,2)-$Q56),MIN(0,SUM($CS56:CU56)+MIN(0,ROUND($R56*EFBPercent+EFBAdd,2)-$Q56))))</f>
        <v>0</v>
      </c>
      <c r="DE56" s="192">
        <f>IF(CW56&lt;0,0,MAX(-CW56,MIN(0,ROUND($R56*EFBPercent+EFBAdd,2)-$Q56),MIN(0,SUM($CS56:CV56)+MIN(0,ROUND($R56*EFBPercent+EFBAdd,2)-$Q56))))</f>
        <v>0</v>
      </c>
      <c r="DF56" s="192">
        <f>IF(CX56&lt;0,0,MAX(-CX56,MIN(0,ROUND($R56*EFBPercent+EFBAdd,2)-$Q56),MIN(0,SUM($CS56:CW56)+MIN(0,ROUND($R56*EFBPercent+EFBAdd,2)-$Q56))))</f>
        <v>0</v>
      </c>
      <c r="DG56" s="192">
        <f>MAX(-CY56,MIN(0,ROUND($R56*EFBPercent+EFBAdd,2)-$Q56),MIN(0,SUM($CS56:CX56)+MIN(0,ROUND($R56*EFBPercent+EFBAdd,2)-$Q56)))</f>
        <v>0</v>
      </c>
      <c r="DI56" s="73">
        <f t="shared" si="34"/>
        <v>670053.05000000005</v>
      </c>
      <c r="DJ56" s="73">
        <f t="shared" si="35"/>
        <v>264883.40999999997</v>
      </c>
      <c r="DK56" s="73">
        <f t="shared" si="36"/>
        <v>0</v>
      </c>
      <c r="DL56" s="73">
        <f t="shared" si="37"/>
        <v>0</v>
      </c>
      <c r="DM56" s="73">
        <f t="shared" si="38"/>
        <v>0</v>
      </c>
      <c r="DN56" s="73">
        <f t="shared" si="39"/>
        <v>0</v>
      </c>
      <c r="DO56" s="73">
        <f t="shared" si="40"/>
        <v>0</v>
      </c>
      <c r="DP56" s="73"/>
      <c r="DQ56" s="73"/>
    </row>
    <row r="57" spans="1:121" ht="10.199999999999999" x14ac:dyDescent="0.2">
      <c r="A57" s="4" t="s">
        <v>536</v>
      </c>
      <c r="B57" s="188">
        <v>1160</v>
      </c>
      <c r="C57" s="189" t="s">
        <v>63</v>
      </c>
      <c r="D57" s="4">
        <v>2027</v>
      </c>
      <c r="E57" s="4" t="s">
        <v>379</v>
      </c>
      <c r="F57" s="4">
        <v>2</v>
      </c>
      <c r="G57" s="4" t="s">
        <v>680</v>
      </c>
      <c r="H57" s="4">
        <v>100</v>
      </c>
      <c r="I57" s="4" t="s">
        <v>1152</v>
      </c>
      <c r="J57" s="199">
        <v>488983.92</v>
      </c>
      <c r="K57" s="199">
        <v>65.91</v>
      </c>
      <c r="L57" s="199">
        <v>102</v>
      </c>
      <c r="M57" s="199">
        <v>0</v>
      </c>
      <c r="N57" s="5">
        <v>52639</v>
      </c>
      <c r="O57" s="5">
        <v>0</v>
      </c>
      <c r="P57" s="5">
        <v>0</v>
      </c>
      <c r="Q57" s="199">
        <v>0</v>
      </c>
      <c r="R57" s="199">
        <v>0</v>
      </c>
      <c r="S57" s="5">
        <v>0</v>
      </c>
      <c r="T57" s="5">
        <v>219871.44999999998</v>
      </c>
      <c r="U57" s="5">
        <v>11365.97</v>
      </c>
      <c r="V57" s="5">
        <v>0</v>
      </c>
      <c r="W57" s="5">
        <v>146.41999999999999</v>
      </c>
      <c r="X57" s="5">
        <v>536.93999999999994</v>
      </c>
      <c r="Y57" s="5">
        <v>0</v>
      </c>
      <c r="Z57" s="5">
        <v>10</v>
      </c>
      <c r="AA57" s="5">
        <v>35</v>
      </c>
      <c r="AB57" s="5">
        <v>16</v>
      </c>
      <c r="AC57" s="5">
        <v>0</v>
      </c>
      <c r="AD57" s="5">
        <v>0</v>
      </c>
      <c r="AE57" s="5">
        <v>0</v>
      </c>
      <c r="AF57" s="5">
        <v>0</v>
      </c>
      <c r="AG57" s="5">
        <v>0</v>
      </c>
      <c r="AH57" s="5">
        <v>0.33600000000000002</v>
      </c>
      <c r="AI57" s="5">
        <v>0</v>
      </c>
      <c r="AJ57" s="5">
        <v>0</v>
      </c>
      <c r="AK57" s="5">
        <v>0</v>
      </c>
      <c r="AL57" s="5">
        <v>60.02</v>
      </c>
      <c r="AM57" s="5">
        <v>4.43</v>
      </c>
      <c r="AN57" s="5">
        <v>61</v>
      </c>
      <c r="AO57" s="5">
        <f t="shared" si="41"/>
        <v>0</v>
      </c>
      <c r="AP57" s="5">
        <f t="shared" si="74"/>
        <v>0</v>
      </c>
      <c r="AQ57" s="5">
        <v>0</v>
      </c>
      <c r="AR57" s="5">
        <v>0</v>
      </c>
      <c r="AS57" s="5">
        <v>7568</v>
      </c>
      <c r="AT57" s="5">
        <v>94944</v>
      </c>
      <c r="AU57" s="5">
        <v>172</v>
      </c>
      <c r="AV57" s="5">
        <v>1032</v>
      </c>
      <c r="AW57" s="5">
        <v>102</v>
      </c>
      <c r="AX57" s="5">
        <v>1</v>
      </c>
      <c r="AY57" s="199">
        <v>0</v>
      </c>
      <c r="AZ57" s="199">
        <v>0</v>
      </c>
      <c r="BA57" s="5">
        <v>220628.19</v>
      </c>
      <c r="BB57" s="13">
        <v>58683.32</v>
      </c>
      <c r="BC57" s="190">
        <f>MAX(ROUND(IF(F57&lt;4,IF(H57=0,(SUM(Y57:AD57)*Worksheet!$E$26+Y57*Worksheet!$E$27+AR57*Worksheet!$E$39)*-BaseRate,0)),2),MIN(0,-DI57))</f>
        <v>0</v>
      </c>
      <c r="BD57" s="190">
        <f>MAX(ROUND(IF(F57=4,0,IF(I57=0,0,ROUND(SUM(Y57:AD57)*Worksheet!$E$28,2)*-BaseRate)),2),MIN(0,-DI57-BC57))</f>
        <v>-1395.96</v>
      </c>
      <c r="BE57" s="130">
        <f t="shared" si="23"/>
        <v>0</v>
      </c>
      <c r="BF57" s="130">
        <f t="shared" si="24"/>
        <v>1412</v>
      </c>
      <c r="BG57" s="73"/>
      <c r="BH57" s="191">
        <f t="shared" si="25"/>
        <v>9224.7999999999993</v>
      </c>
      <c r="BI57" s="191">
        <f t="shared" si="26"/>
        <v>7418.96</v>
      </c>
      <c r="BJ57" s="232">
        <f>IFERROR(ROUND(IF(AND(BB57*1.12&lt;N57*60/1000,N57/CL57&lt;STVPP*0.2),(CL57*STVPP*0.2*Worksheet!$F$88/1000-BB57*1.12)*PropTaxAdj,IF(BB57*1.12&lt;N57*60/1000,(N57*60/1000-BB57*1.12)*PropTaxAdj,0)),2),0)</f>
        <v>0</v>
      </c>
      <c r="BK57" s="192">
        <f>ROUND(IF($F57=4,0,Y57*Worksheet!$E$16),2)</f>
        <v>0</v>
      </c>
      <c r="BL57" s="192">
        <f>ROUND(IF($F57=4,0,Z57*Worksheet!$E$17),2)</f>
        <v>10</v>
      </c>
      <c r="BM57" s="192">
        <f>ROUND(IF($F57=4,0,AA57*Worksheet!$E$18),2)</f>
        <v>35</v>
      </c>
      <c r="BN57" s="192">
        <f>ROUND(IF($F57=4,0,AB57*Worksheet!$E$19),2)</f>
        <v>16</v>
      </c>
      <c r="BO57" s="192">
        <f>ROUND(IF($F57=4,0,AC57*Worksheet!$E$20),2)</f>
        <v>0</v>
      </c>
      <c r="BP57" s="192">
        <f>ROUND(AD57*Worksheet!$E$21,2)</f>
        <v>0</v>
      </c>
      <c r="BQ57" s="192">
        <f t="shared" si="27"/>
        <v>61</v>
      </c>
      <c r="BR57" s="192">
        <f>ROUND(AD57*Worksheet!$E$25,2)</f>
        <v>0</v>
      </c>
      <c r="BS57" s="192">
        <f>ROUND(SUM(BQ57)*Worksheet!$E$26,2)</f>
        <v>5.37</v>
      </c>
      <c r="BT57" s="192">
        <f>ROUND(Y57*Worksheet!$E$27,2)</f>
        <v>0</v>
      </c>
      <c r="BU57" s="192">
        <f>ROUND(AO57*Worksheet!$E$29,2)</f>
        <v>0</v>
      </c>
      <c r="BV57" s="192">
        <f>ROUND(AP57*Worksheet!$E$30,2)</f>
        <v>0</v>
      </c>
      <c r="BW57" s="192">
        <f>ROUND(IF($I57&lt;&gt;0,$BQ57*Worksheet!$E$28,0),2)</f>
        <v>0.12</v>
      </c>
      <c r="BX57" s="192">
        <f>ROUND(AE57*Worksheet!$E$31,2)</f>
        <v>0</v>
      </c>
      <c r="BY57" s="192">
        <f>ROUND(AF57*Worksheet!$E$32,2)</f>
        <v>0</v>
      </c>
      <c r="BZ57" s="192">
        <f>ROUND(AG57*Worksheet!$E$33,2)</f>
        <v>0</v>
      </c>
      <c r="CA57" s="192">
        <f>ROUND(ROUND(AH57*BQ57,2)*Worksheet!$E$34,2)</f>
        <v>0.51</v>
      </c>
      <c r="CB57" s="192">
        <f>ROUND(AI57*Worksheet!$E$35,2)</f>
        <v>0</v>
      </c>
      <c r="CC57" s="192">
        <f>ROUND(AJ57*Worksheet!$E$36,2)</f>
        <v>0</v>
      </c>
      <c r="CD57" s="192">
        <f>ROUND(AQ57*Worksheet!$E$38,2)</f>
        <v>0</v>
      </c>
      <c r="CE57" s="192">
        <f>ROUND(AR57*Worksheet!$E$39,2)</f>
        <v>0</v>
      </c>
      <c r="CF57" s="192">
        <f>IF(AND(L57&gt;275,SUM(Y57:AD57)&lt;100),ROUND(SUM(Y57:AD57)*Worksheet!$E$41,2),0)</f>
        <v>0</v>
      </c>
      <c r="CG57" s="192">
        <f>IF(AND(L57&gt;600,SUM(Y57:AD57)&lt;50),ROUND((50-SUM(Y57:AD57))*(Worksheet!$E$41+1),2),0)</f>
        <v>0</v>
      </c>
      <c r="CH57" s="192">
        <f t="shared" si="28"/>
        <v>67.000000000000014</v>
      </c>
      <c r="CI57" s="192">
        <f t="shared" si="43"/>
        <v>0</v>
      </c>
      <c r="CJ57" s="192">
        <f t="shared" si="44"/>
        <v>67.000000000000014</v>
      </c>
      <c r="CK57" s="242">
        <f t="shared" si="29"/>
        <v>1.67</v>
      </c>
      <c r="CL57" s="192">
        <f t="shared" si="45"/>
        <v>111.89</v>
      </c>
      <c r="CM57" s="192">
        <f t="shared" si="46"/>
        <v>111.89</v>
      </c>
      <c r="CN57" s="192">
        <f t="shared" si="30"/>
        <v>1301616.3700000001</v>
      </c>
      <c r="CO57" s="193">
        <f>ROUND(IF(F57=4,0,(MAX(ROUND(MAX((BI57*MIN(CL57,K57)*Worksheet!$D$126)+MAX(CL57-K57,0)*Worksheet!$F$50,SUM(J57)),2),SUM(CN57))-SUM(CN57))*MinAdj),2)</f>
        <v>0</v>
      </c>
      <c r="CP57" s="192">
        <f t="shared" si="31"/>
        <v>1301616.3700000001</v>
      </c>
      <c r="CQ57" s="131">
        <f>IF(CL57=0,0,-MIN(CP57,MIN(CP57,ROUND(IF(ROUND(IF(CL57=0,0,N57/CL57),2)&lt;STVPP*0.2,STVPP*0.2*CL57*Worksheet!$F$88/1000,N57*Worksheet!$F$88/1000),2))))</f>
        <v>-61929.77</v>
      </c>
      <c r="CR57" s="193">
        <f>-MIN(SUM(CP57,CQ57),IF($P57=0,(ROUND(Worksheet!$E$77*S57,2)+ROUND(Worksheet!$E$78*T57,2)+ROUND(Worksheet!$E$79*U57,2)+ROUND(Worksheet!$E$80*V57,2)+ROUND(Worksheet!$E$81*W57,2)+ROUND(Worksheet!$E$82*X57,2)),(ROUND(ROUND(S57*ROUND((1-$O57/$P57),4),2)*Worksheet!$E$77,2)+ROUND(ROUND(T57*ROUND((1-$O57/$P57),4),2)*Worksheet!$E$78,2)+ROUND(ROUND(U57*ROUND((1-$O57/$P57),4),2)*Worksheet!$E$79,2)+ROUND(ROUND(V57*ROUND((1-$O57/$P57),4),2)*Worksheet!$E$80,2)+ROUND(ROUND(W57*ROUND((1-$O57/$P57),4),2)*Worksheet!$E$81,2)+ROUND(ROUND(X57*ROUND((1-$O57/$P57),4),2)*Worksheet!$E$82,2))))</f>
        <v>-173940.6</v>
      </c>
      <c r="CS57" s="192">
        <f t="shared" si="32"/>
        <v>1065746</v>
      </c>
      <c r="CT57" s="116">
        <f>ROUND(MIN(BA57,ROUND((ROUND(AS57*Worksheet!$E$104,2)+ROUND(AV57*Worksheet!$E$107,2)+ROUND(AT57*Worksheet!$E$105,2)+ROUND(AW57*Worksheet!$E$108,2)+ROUND(AU57*Worksheet!$E$106,2)+ROUND(AX57*Worksheet!$E$109,2)+ROUND(AY57*Worksheet!$E$110,2)+ROUND(AZ57*Worksheet!$E$111,2))*Worksheet!$D$114,2))*BaseRate,2)</f>
        <v>129940.61</v>
      </c>
      <c r="CU57" s="121">
        <v>0</v>
      </c>
      <c r="CV57" s="121">
        <v>0</v>
      </c>
      <c r="CW57" s="121">
        <v>0</v>
      </c>
      <c r="CX57" s="121">
        <v>0</v>
      </c>
      <c r="CY57" s="121">
        <v>0</v>
      </c>
      <c r="DA57" s="192">
        <f t="shared" si="33"/>
        <v>0</v>
      </c>
      <c r="DB57" s="192">
        <f>MAX(-CT57,MIN(0,ROUND($R57*EFBPercent+EFBAdd,2)-$Q57),MIN(0,SUM($CS57:CS57)+MIN(0,ROUND($R57*EFBPercent+EFBAdd,2)-$Q57)))</f>
        <v>0</v>
      </c>
      <c r="DC57" s="192">
        <f>IF(CU57&lt;0,0,MAX(-CU57,MIN(0,ROUND($R57*EFBPercent+EFBAdd,2)-$Q57),MIN(0,SUM($CS57:CT57)+MIN(0,ROUND($R57*EFBPercent+EFBAdd,2)-$Q57))))</f>
        <v>0</v>
      </c>
      <c r="DD57" s="192">
        <f>IF(CV57&lt;0,0,MAX(-CV57,MIN(0,ROUND($R57*EFBPercent+EFBAdd,2)-$Q57),MIN(0,SUM($CS57:CU57)+MIN(0,ROUND($R57*EFBPercent+EFBAdd,2)-$Q57))))</f>
        <v>0</v>
      </c>
      <c r="DE57" s="192">
        <f>IF(CW57&lt;0,0,MAX(-CW57,MIN(0,ROUND($R57*EFBPercent+EFBAdd,2)-$Q57),MIN(0,SUM($CS57:CV57)+MIN(0,ROUND($R57*EFBPercent+EFBAdd,2)-$Q57))))</f>
        <v>0</v>
      </c>
      <c r="DF57" s="192">
        <f>IF(CX57&lt;0,0,MAX(-CX57,MIN(0,ROUND($R57*EFBPercent+EFBAdd,2)-$Q57),MIN(0,SUM($CS57:CW57)+MIN(0,ROUND($R57*EFBPercent+EFBAdd,2)-$Q57))))</f>
        <v>0</v>
      </c>
      <c r="DG57" s="192">
        <f>MAX(-CY57,MIN(0,ROUND($R57*EFBPercent+EFBAdd,2)-$Q57),MIN(0,SUM($CS57:CX57)+MIN(0,ROUND($R57*EFBPercent+EFBAdd,2)-$Q57)))</f>
        <v>0</v>
      </c>
      <c r="DI57" s="73">
        <f t="shared" si="34"/>
        <v>1065746</v>
      </c>
      <c r="DJ57" s="73">
        <f t="shared" si="35"/>
        <v>129940.61</v>
      </c>
      <c r="DK57" s="73">
        <f t="shared" si="36"/>
        <v>0</v>
      </c>
      <c r="DL57" s="73">
        <f t="shared" si="37"/>
        <v>0</v>
      </c>
      <c r="DM57" s="73">
        <f t="shared" si="38"/>
        <v>0</v>
      </c>
      <c r="DN57" s="73">
        <f t="shared" si="39"/>
        <v>0</v>
      </c>
      <c r="DO57" s="73">
        <f t="shared" si="40"/>
        <v>0</v>
      </c>
      <c r="DP57" s="73"/>
      <c r="DQ57" s="73"/>
    </row>
    <row r="58" spans="1:121" ht="10.199999999999999" x14ac:dyDescent="0.2">
      <c r="A58" s="4" t="s">
        <v>537</v>
      </c>
      <c r="B58" s="188">
        <v>1119</v>
      </c>
      <c r="C58" s="189" t="s">
        <v>64</v>
      </c>
      <c r="D58" s="4">
        <v>2027</v>
      </c>
      <c r="E58" s="4" t="s">
        <v>380</v>
      </c>
      <c r="F58" s="4">
        <v>1</v>
      </c>
      <c r="G58" s="4" t="s">
        <v>666</v>
      </c>
      <c r="H58" s="4">
        <v>100</v>
      </c>
      <c r="I58" s="4" t="s">
        <v>849</v>
      </c>
      <c r="J58" s="5">
        <v>3537265.24</v>
      </c>
      <c r="K58" s="5">
        <v>366.19</v>
      </c>
      <c r="L58" s="5">
        <v>352.79</v>
      </c>
      <c r="M58" s="5">
        <v>0</v>
      </c>
      <c r="N58" s="5">
        <v>18061768</v>
      </c>
      <c r="O58" s="5">
        <v>7.1</v>
      </c>
      <c r="P58" s="5">
        <v>92.88</v>
      </c>
      <c r="Q58" s="5">
        <v>0</v>
      </c>
      <c r="R58" s="5">
        <v>0</v>
      </c>
      <c r="S58" s="5">
        <v>0</v>
      </c>
      <c r="T58" s="5">
        <v>0</v>
      </c>
      <c r="U58" s="5">
        <v>0</v>
      </c>
      <c r="V58" s="5">
        <v>6463.85</v>
      </c>
      <c r="W58" s="5">
        <v>8655.5</v>
      </c>
      <c r="X58" s="5">
        <v>27152.959999999999</v>
      </c>
      <c r="Y58" s="5">
        <v>0.41</v>
      </c>
      <c r="Z58" s="5">
        <v>22</v>
      </c>
      <c r="AA58" s="5">
        <v>163</v>
      </c>
      <c r="AB58" s="5">
        <v>44</v>
      </c>
      <c r="AC58" s="5">
        <v>94</v>
      </c>
      <c r="AD58" s="5">
        <v>0</v>
      </c>
      <c r="AE58" s="5">
        <v>0</v>
      </c>
      <c r="AF58" s="5">
        <v>0</v>
      </c>
      <c r="AG58" s="5">
        <v>1</v>
      </c>
      <c r="AH58" s="5">
        <v>0.31</v>
      </c>
      <c r="AI58" s="5">
        <v>0</v>
      </c>
      <c r="AJ58" s="5">
        <v>0</v>
      </c>
      <c r="AK58" s="5">
        <v>0</v>
      </c>
      <c r="AL58" s="5">
        <v>322</v>
      </c>
      <c r="AM58" s="5">
        <v>1.0199999999999818</v>
      </c>
      <c r="AN58" s="5">
        <v>323</v>
      </c>
      <c r="AO58" s="5">
        <f t="shared" si="41"/>
        <v>0</v>
      </c>
      <c r="AP58" s="5">
        <f t="shared" si="74"/>
        <v>0</v>
      </c>
      <c r="AQ58" s="5">
        <v>0</v>
      </c>
      <c r="AR58" s="5">
        <v>0</v>
      </c>
      <c r="AS58" s="5">
        <v>0</v>
      </c>
      <c r="AT58" s="5">
        <v>131250</v>
      </c>
      <c r="AU58" s="5">
        <v>0</v>
      </c>
      <c r="AV58" s="5">
        <v>1400</v>
      </c>
      <c r="AW58" s="5">
        <v>352.79</v>
      </c>
      <c r="AX58" s="5">
        <v>1</v>
      </c>
      <c r="AY58" s="199">
        <v>0</v>
      </c>
      <c r="AZ58" s="199">
        <v>0</v>
      </c>
      <c r="BA58" s="5">
        <v>208510.71</v>
      </c>
      <c r="BB58" s="13">
        <v>1068535.32</v>
      </c>
      <c r="BC58" s="190">
        <f>MAX(ROUND(IF(F58&lt;4,IF(H58=0,(SUM(Y58:AD58)*Worksheet!$E$26+Y58*Worksheet!$E$27+AR58*Worksheet!$E$39)*-BaseRate,0)),2),MIN(0,-DI58))</f>
        <v>0</v>
      </c>
      <c r="BD58" s="190">
        <f>MAX(ROUND(IF(F58=4,0,IF(I58=0,0,ROUND(SUM(Y58:AD58)*Worksheet!$E$28,2)*-BaseRate)),2),MIN(0,-DI58-BC58))</f>
        <v>-7561.45</v>
      </c>
      <c r="BE58" s="130">
        <f t="shared" si="23"/>
        <v>0</v>
      </c>
      <c r="BF58" s="130">
        <f t="shared" si="24"/>
        <v>1405</v>
      </c>
      <c r="BG58" s="73"/>
      <c r="BH58" s="191">
        <f t="shared" si="25"/>
        <v>46654.36</v>
      </c>
      <c r="BI58" s="191">
        <f t="shared" si="26"/>
        <v>9659.64</v>
      </c>
      <c r="BJ58" s="232">
        <f>IFERROR(ROUND(IF(AND(BB58*1.12&lt;N58*60/1000,N58/CL58&lt;STVPP*0.2),(CL58*STVPP*0.2*Worksheet!$F$88/1000-BB58*1.12)*PropTaxAdj,IF(BB58*1.12&lt;N58*60/1000,(N58*60/1000-BB58*1.12)*PropTaxAdj,0)),2),0)</f>
        <v>0</v>
      </c>
      <c r="BK58" s="192">
        <f>ROUND(IF($F58=4,0,Y58*Worksheet!$E$16),2)</f>
        <v>0.41</v>
      </c>
      <c r="BL58" s="192">
        <f>ROUND(IF($F58=4,0,Z58*Worksheet!$E$17),2)</f>
        <v>22</v>
      </c>
      <c r="BM58" s="192">
        <f>ROUND(IF($F58=4,0,AA58*Worksheet!$E$18),2)</f>
        <v>163</v>
      </c>
      <c r="BN58" s="192">
        <f>ROUND(IF($F58=4,0,AB58*Worksheet!$E$19),2)</f>
        <v>44</v>
      </c>
      <c r="BO58" s="192">
        <f>ROUND(IF($F58=4,0,AC58*Worksheet!$E$20),2)</f>
        <v>94</v>
      </c>
      <c r="BP58" s="192">
        <f>ROUND(AD58*Worksheet!$E$21,2)</f>
        <v>0</v>
      </c>
      <c r="BQ58" s="192">
        <f t="shared" si="27"/>
        <v>323.40999999999997</v>
      </c>
      <c r="BR58" s="192">
        <f>ROUND(AD58*Worksheet!$E$25,2)</f>
        <v>0</v>
      </c>
      <c r="BS58" s="192">
        <f>ROUND(SUM(BQ58)*Worksheet!$E$26,2)</f>
        <v>28.46</v>
      </c>
      <c r="BT58" s="192">
        <f>ROUND(Y58*Worksheet!$E$27,2)</f>
        <v>7.0000000000000007E-2</v>
      </c>
      <c r="BU58" s="192">
        <f>ROUND(AO58*Worksheet!$E$29,2)</f>
        <v>0</v>
      </c>
      <c r="BV58" s="192">
        <f>ROUND(AP58*Worksheet!$E$30,2)</f>
        <v>0</v>
      </c>
      <c r="BW58" s="192">
        <f>ROUND(IF($I58&lt;&gt;0,$BQ58*Worksheet!$E$28,0),2)</f>
        <v>0.65</v>
      </c>
      <c r="BX58" s="192">
        <f>ROUND(AE58*Worksheet!$E$31,2)</f>
        <v>0</v>
      </c>
      <c r="BY58" s="192">
        <f>ROUND(AF58*Worksheet!$E$32,2)</f>
        <v>0</v>
      </c>
      <c r="BZ58" s="192">
        <f>ROUND(AG58*Worksheet!$E$33,2)</f>
        <v>7.0000000000000007E-2</v>
      </c>
      <c r="CA58" s="192">
        <f>ROUND(ROUND(AH58*BQ58,2)*Worksheet!$E$34,2)</f>
        <v>2.5099999999999998</v>
      </c>
      <c r="CB58" s="192">
        <f>ROUND(AI58*Worksheet!$E$35,2)</f>
        <v>0</v>
      </c>
      <c r="CC58" s="192">
        <f>ROUND(AJ58*Worksheet!$E$36,2)</f>
        <v>0</v>
      </c>
      <c r="CD58" s="192">
        <f>ROUND(AQ58*Worksheet!$E$38,2)</f>
        <v>0</v>
      </c>
      <c r="CE58" s="192">
        <f>ROUND(AR58*Worksheet!$E$39,2)</f>
        <v>0</v>
      </c>
      <c r="CF58" s="192">
        <f>IF(AND(L58&gt;275,SUM(Y58:AD58)&lt;100),ROUND(SUM(Y58:AD58)*Worksheet!$E$41,2),0)</f>
        <v>0</v>
      </c>
      <c r="CG58" s="192">
        <f>IF(AND(L58&gt;600,SUM(Y58:AD58)&lt;50),ROUND((50-SUM(Y58:AD58))*(Worksheet!$E$41+1),2),0)</f>
        <v>0</v>
      </c>
      <c r="CH58" s="192">
        <f t="shared" si="28"/>
        <v>355.1699999999999</v>
      </c>
      <c r="CI58" s="116">
        <f t="shared" si="43"/>
        <v>0</v>
      </c>
      <c r="CJ58" s="116">
        <f t="shared" si="44"/>
        <v>355.1699999999999</v>
      </c>
      <c r="CK58" s="95">
        <f t="shared" si="29"/>
        <v>1.0900000000000001</v>
      </c>
      <c r="CL58" s="116">
        <f t="shared" si="45"/>
        <v>387.14</v>
      </c>
      <c r="CM58" s="116">
        <f t="shared" si="46"/>
        <v>387.14</v>
      </c>
      <c r="CN58" s="116">
        <f t="shared" si="30"/>
        <v>4503599.62</v>
      </c>
      <c r="CO58" s="131">
        <f>ROUND(IF(F58=4,0,(MAX(ROUND(MAX((BI58*MIN(CL58,K58)*Worksheet!$D$126)+MAX(CL58-K58,0)*Worksheet!$F$50,SUM(J58)),2),SUM(CN58))-SUM(CN58))*MinAdj),2)</f>
        <v>0</v>
      </c>
      <c r="CP58" s="192">
        <f t="shared" si="31"/>
        <v>4503599.62</v>
      </c>
      <c r="CQ58" s="131">
        <f>IF(CL58=0,0,-MIN(CP58,MIN(CP58,ROUND(IF(ROUND(IF(CL58=0,0,N58/CL58),2)&lt;STVPP*0.2,STVPP*0.2*CL58*Worksheet!$F$88/1000,N58*Worksheet!$F$88/1000),2))))</f>
        <v>-1083706.08</v>
      </c>
      <c r="CR58" s="193">
        <f>-MIN(SUM(CP58,CQ58),IF($P58=0,(ROUND(Worksheet!$E$77*S58,2)+ROUND(Worksheet!$E$78*T58,2)+ROUND(Worksheet!$E$79*U58,2)+ROUND(Worksheet!$E$80*V58,2)+ROUND(Worksheet!$E$81*W58,2)+ROUND(Worksheet!$E$82*X58,2)),(ROUND(ROUND(S58*ROUND((1-$O58/$P58),4),2)*Worksheet!$E$77,2)+ROUND(ROUND(T58*ROUND((1-$O58/$P58),4),2)*Worksheet!$E$78,2)+ROUND(ROUND(U58*ROUND((1-$O58/$P58),4),2)*Worksheet!$E$79,2)+ROUND(ROUND(V58*ROUND((1-$O58/$P58),4),2)*Worksheet!$E$80,2)+ROUND(ROUND(W58*ROUND((1-$O58/$P58),4),2)*Worksheet!$E$81,2)+ROUND(ROUND(X58*ROUND((1-$O58/$P58),4),2)*Worksheet!$E$82,2))))</f>
        <v>-29282.03</v>
      </c>
      <c r="CS58" s="192">
        <f t="shared" si="32"/>
        <v>3390611.5100000002</v>
      </c>
      <c r="CT58" s="116">
        <f>ROUND(MIN(BA58,ROUND((ROUND(AS58*Worksheet!$E$104,2)+ROUND(AV58*Worksheet!$E$107,2)+ROUND(AT58*Worksheet!$E$105,2)+ROUND(AW58*Worksheet!$E$108,2)+ROUND(AU58*Worksheet!$E$106,2)+ROUND(AX58*Worksheet!$E$109,2)+ROUND(AY58*Worksheet!$E$110,2)+ROUND(AZ58*Worksheet!$E$111,2))*Worksheet!$D$114,2))*BaseRate,2)</f>
        <v>174262.34</v>
      </c>
      <c r="CU58" s="121">
        <v>0</v>
      </c>
      <c r="CV58" s="121">
        <v>0</v>
      </c>
      <c r="CW58" s="121">
        <v>0</v>
      </c>
      <c r="CX58" s="121">
        <v>0</v>
      </c>
      <c r="CY58" s="121">
        <v>0</v>
      </c>
      <c r="DA58" s="192">
        <f t="shared" si="33"/>
        <v>0</v>
      </c>
      <c r="DB58" s="192">
        <f>MAX(-CT58,MIN(0,ROUND($R58*EFBPercent+EFBAdd,2)-$Q58),MIN(0,SUM($CS58:CS58)+MIN(0,ROUND($R58*EFBPercent+EFBAdd,2)-$Q58)))</f>
        <v>0</v>
      </c>
      <c r="DC58" s="192">
        <f>IF(CU58&lt;0,0,MAX(-CU58,MIN(0,ROUND($R58*EFBPercent+EFBAdd,2)-$Q58),MIN(0,SUM($CS58:CT58)+MIN(0,ROUND($R58*EFBPercent+EFBAdd,2)-$Q58))))</f>
        <v>0</v>
      </c>
      <c r="DD58" s="192">
        <f>IF(CV58&lt;0,0,MAX(-CV58,MIN(0,ROUND($R58*EFBPercent+EFBAdd,2)-$Q58),MIN(0,SUM($CS58:CU58)+MIN(0,ROUND($R58*EFBPercent+EFBAdd,2)-$Q58))))</f>
        <v>0</v>
      </c>
      <c r="DE58" s="192">
        <f>IF(CW58&lt;0,0,MAX(-CW58,MIN(0,ROUND($R58*EFBPercent+EFBAdd,2)-$Q58),MIN(0,SUM($CS58:CV58)+MIN(0,ROUND($R58*EFBPercent+EFBAdd,2)-$Q58))))</f>
        <v>0</v>
      </c>
      <c r="DF58" s="192">
        <f>IF(CX58&lt;0,0,MAX(-CX58,MIN(0,ROUND($R58*EFBPercent+EFBAdd,2)-$Q58),MIN(0,SUM($CS58:CW58)+MIN(0,ROUND($R58*EFBPercent+EFBAdd,2)-$Q58))))</f>
        <v>0</v>
      </c>
      <c r="DG58" s="192">
        <f>MAX(-CY58,MIN(0,ROUND($R58*EFBPercent+EFBAdd,2)-$Q58),MIN(0,SUM($CS58:CX58)+MIN(0,ROUND($R58*EFBPercent+EFBAdd,2)-$Q58)))</f>
        <v>0</v>
      </c>
      <c r="DI58" s="73">
        <f t="shared" si="34"/>
        <v>3390611.5100000002</v>
      </c>
      <c r="DJ58" s="73">
        <f t="shared" si="35"/>
        <v>174262.34</v>
      </c>
      <c r="DK58" s="73">
        <f t="shared" si="36"/>
        <v>0</v>
      </c>
      <c r="DL58" s="73">
        <f t="shared" si="37"/>
        <v>0</v>
      </c>
      <c r="DM58" s="73">
        <f t="shared" si="38"/>
        <v>0</v>
      </c>
      <c r="DN58" s="73">
        <f t="shared" si="39"/>
        <v>0</v>
      </c>
      <c r="DO58" s="73">
        <f t="shared" si="40"/>
        <v>0</v>
      </c>
      <c r="DP58" s="73"/>
      <c r="DQ58" s="73"/>
    </row>
    <row r="59" spans="1:121" ht="10.199999999999999" x14ac:dyDescent="0.2">
      <c r="A59" s="4" t="s">
        <v>666</v>
      </c>
      <c r="B59" s="188">
        <v>2504</v>
      </c>
      <c r="C59" s="189" t="s">
        <v>186</v>
      </c>
      <c r="D59" s="4">
        <v>2027</v>
      </c>
      <c r="E59" s="4" t="s">
        <v>1035</v>
      </c>
      <c r="F59" s="4">
        <v>7</v>
      </c>
      <c r="G59" s="4" t="s">
        <v>666</v>
      </c>
      <c r="H59" s="4">
        <v>0</v>
      </c>
      <c r="I59" s="4">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f t="shared" si="41"/>
        <v>0</v>
      </c>
      <c r="AP59" s="5">
        <v>0</v>
      </c>
      <c r="AQ59" s="5">
        <v>0</v>
      </c>
      <c r="AR59" s="5">
        <v>0</v>
      </c>
      <c r="AS59" s="5">
        <v>0</v>
      </c>
      <c r="AT59" s="5">
        <v>0</v>
      </c>
      <c r="AU59" s="5">
        <v>0</v>
      </c>
      <c r="AV59" s="5">
        <v>0</v>
      </c>
      <c r="AW59" s="5">
        <v>0</v>
      </c>
      <c r="AX59" s="5">
        <v>0</v>
      </c>
      <c r="AY59" s="199">
        <v>0</v>
      </c>
      <c r="AZ59" s="199">
        <v>0</v>
      </c>
      <c r="BA59" s="5">
        <v>0</v>
      </c>
      <c r="BB59" s="13">
        <v>0</v>
      </c>
      <c r="BC59" s="190">
        <f>MAX(ROUND(IF(F59&lt;4,IF(H59=0,(SUM(Y59:AD59)*Worksheet!$E$26+Y59*Worksheet!$E$27+AR59*Worksheet!$E$39)*-BaseRate,0)),2),MIN(0,-DI59))</f>
        <v>0</v>
      </c>
      <c r="BD59" s="190">
        <f>MAX(ROUND(IF(F59=4,0,IF(I59=0,0,ROUND(SUM(Y59:AD59)*Worksheet!$E$28,2)*-BaseRate)),2),MIN(0,-DI59-BC59))</f>
        <v>0</v>
      </c>
      <c r="BE59" s="130">
        <f t="shared" si="23"/>
        <v>0</v>
      </c>
      <c r="BF59" s="130">
        <f t="shared" si="24"/>
        <v>0</v>
      </c>
      <c r="BG59" s="73"/>
      <c r="BH59" s="191">
        <f t="shared" si="25"/>
        <v>0</v>
      </c>
      <c r="BI59" s="191">
        <f t="shared" si="26"/>
        <v>0</v>
      </c>
      <c r="BJ59" s="232">
        <f>IFERROR(ROUND(IF(AND(BB59*1.12&lt;N59*60/1000,N59/CL59&lt;STVPP*0.2),(CL59*STVPP*0.2*Worksheet!$F$88/1000-BB59*1.12)*PropTaxAdj,IF(BB59*1.12&lt;N59*60/1000,(N59*60/1000-BB59*1.12)*PropTaxAdj,0)),2),0)</f>
        <v>0</v>
      </c>
      <c r="BK59" s="192">
        <f>ROUND(IF($F59=4,0,Y59*Worksheet!$E$16),2)</f>
        <v>0</v>
      </c>
      <c r="BL59" s="192">
        <f>ROUND(IF($F59=4,0,Z59*Worksheet!$E$17),2)</f>
        <v>0</v>
      </c>
      <c r="BM59" s="192">
        <f>ROUND(IF($F59=4,0,AA59*Worksheet!$E$18),2)</f>
        <v>0</v>
      </c>
      <c r="BN59" s="192">
        <f>ROUND(IF($F59=4,0,AB59*Worksheet!$E$19),2)</f>
        <v>0</v>
      </c>
      <c r="BO59" s="192">
        <f>ROUND(IF($F59=4,0,AC59*Worksheet!$E$20),2)</f>
        <v>0</v>
      </c>
      <c r="BP59" s="192">
        <f>ROUND(AD59*Worksheet!$E$21,2)</f>
        <v>0</v>
      </c>
      <c r="BQ59" s="192">
        <f t="shared" si="27"/>
        <v>0</v>
      </c>
      <c r="BR59" s="192">
        <f>ROUND(AD59*Worksheet!$E$25,2)</f>
        <v>0</v>
      </c>
      <c r="BS59" s="192">
        <f>ROUND(SUM(BQ59)*Worksheet!$E$26,2)</f>
        <v>0</v>
      </c>
      <c r="BT59" s="192">
        <f>ROUND(Y59*Worksheet!$E$27,2)</f>
        <v>0</v>
      </c>
      <c r="BU59" s="192">
        <f>ROUND(AO59*Worksheet!$E$29,2)</f>
        <v>0</v>
      </c>
      <c r="BV59" s="192">
        <f>ROUND(AP59*Worksheet!$E$30,2)</f>
        <v>0</v>
      </c>
      <c r="BW59" s="192">
        <f>ROUND(IF($I59&lt;&gt;0,$BQ59*Worksheet!$E$28,0),2)</f>
        <v>0</v>
      </c>
      <c r="BX59" s="192">
        <f>ROUND(AE59*Worksheet!$E$31,2)</f>
        <v>0</v>
      </c>
      <c r="BY59" s="192">
        <f>ROUND(AF59*Worksheet!$E$32,2)</f>
        <v>0</v>
      </c>
      <c r="BZ59" s="192">
        <f>ROUND(AG59*Worksheet!$E$33,2)</f>
        <v>0</v>
      </c>
      <c r="CA59" s="192">
        <f>ROUND(ROUND(AH59*BQ59,2)*Worksheet!$E$34,2)</f>
        <v>0</v>
      </c>
      <c r="CB59" s="192">
        <f>ROUND(AI59*Worksheet!$E$35,2)</f>
        <v>0</v>
      </c>
      <c r="CC59" s="192">
        <f>ROUND(AJ59*Worksheet!$E$36,2)</f>
        <v>0</v>
      </c>
      <c r="CD59" s="192">
        <f>ROUND(AQ59*Worksheet!$E$38,2)</f>
        <v>0</v>
      </c>
      <c r="CE59" s="192">
        <f>ROUND(AR59*Worksheet!$E$39,2)</f>
        <v>0</v>
      </c>
      <c r="CF59" s="192">
        <f>IF(AND(L59&gt;275,SUM(Y59:AD59)&lt;100),ROUND(SUM(Y59:AD59)*Worksheet!$E$41,2),0)</f>
        <v>0</v>
      </c>
      <c r="CG59" s="192">
        <f>IF(AND(L59&gt;600,SUM(Y59:AD59)&lt;50),ROUND((50-SUM(Y59:AD59))*(Worksheet!$E$41+1),2),0)</f>
        <v>0</v>
      </c>
      <c r="CH59" s="192">
        <f t="shared" si="28"/>
        <v>0</v>
      </c>
      <c r="CI59" s="116">
        <f t="shared" si="43"/>
        <v>0</v>
      </c>
      <c r="CJ59" s="116">
        <f t="shared" si="44"/>
        <v>0</v>
      </c>
      <c r="CK59" s="95">
        <f t="shared" si="29"/>
        <v>0</v>
      </c>
      <c r="CL59" s="116">
        <f t="shared" si="45"/>
        <v>0</v>
      </c>
      <c r="CM59" s="116">
        <f t="shared" si="46"/>
        <v>0</v>
      </c>
      <c r="CN59" s="116">
        <f t="shared" si="30"/>
        <v>0</v>
      </c>
      <c r="CO59" s="131">
        <f>ROUND(IF(F59=4,0,(MAX(ROUND(MAX((BI59*MIN(CL59,K59)*Worksheet!$D$126)+MAX(CL59-K59,0)*Worksheet!$F$50,SUM(J59)),2),SUM(CN59))-SUM(CN59))*MinAdj),2)</f>
        <v>0</v>
      </c>
      <c r="CP59" s="192">
        <f t="shared" si="31"/>
        <v>0</v>
      </c>
      <c r="CQ59" s="131">
        <f>IF(CL59=0,0,-MIN(CP59,MIN(CP59,ROUND(IF(ROUND(IF(CL59=0,0,N59/CL59),2)&lt;STVPP*0.2,STVPP*0.2*CL59*Worksheet!$F$88/1000,N59*Worksheet!$F$88/1000),2))))</f>
        <v>0</v>
      </c>
      <c r="CR59" s="193">
        <f>-MIN(SUM(CP59,CQ59),IF($P59=0,(ROUND(Worksheet!$E$77*S59,2)+ROUND(Worksheet!$E$78*T59,2)+ROUND(Worksheet!$E$79*U59,2)+ROUND(Worksheet!$E$80*V59,2)+ROUND(Worksheet!$E$81*W59,2)+ROUND(Worksheet!$E$82*X59,2)),(ROUND(ROUND(S59*ROUND((1-$O59/$P59),4),2)*Worksheet!$E$77,2)+ROUND(ROUND(T59*ROUND((1-$O59/$P59),4),2)*Worksheet!$E$78,2)+ROUND(ROUND(U59*ROUND((1-$O59/$P59),4),2)*Worksheet!$E$79,2)+ROUND(ROUND(V59*ROUND((1-$O59/$P59),4),2)*Worksheet!$E$80,2)+ROUND(ROUND(W59*ROUND((1-$O59/$P59),4),2)*Worksheet!$E$81,2)+ROUND(ROUND(X59*ROUND((1-$O59/$P59),4),2)*Worksheet!$E$82,2))))</f>
        <v>0</v>
      </c>
      <c r="CS59" s="192">
        <f t="shared" si="32"/>
        <v>0</v>
      </c>
      <c r="CT59" s="116">
        <f>ROUND(MIN(BA59,ROUND((ROUND(AS59*Worksheet!$E$104,2)+ROUND(AV59*Worksheet!$E$107,2)+ROUND(AT59*Worksheet!$E$105,2)+ROUND(AW59*Worksheet!$E$108,2)+ROUND(AU59*Worksheet!$E$106,2)+ROUND(AX59*Worksheet!$E$109,2)+ROUND(AY59*Worksheet!$E$110,2)+ROUND(AZ59*Worksheet!$E$111,2))*Worksheet!$D$114,2))*BaseRate,2)</f>
        <v>0</v>
      </c>
      <c r="CU59" s="121">
        <v>0</v>
      </c>
      <c r="CV59" s="121">
        <v>13629.52</v>
      </c>
      <c r="CW59" s="121">
        <v>19282.96</v>
      </c>
      <c r="CX59" s="121">
        <v>0</v>
      </c>
      <c r="CY59" s="121">
        <v>0</v>
      </c>
      <c r="DA59" s="192">
        <f t="shared" si="33"/>
        <v>0</v>
      </c>
      <c r="DB59" s="192">
        <f>MAX(-CT59,MIN(0,ROUND($R59*EFBPercent+EFBAdd,2)-$Q59),MIN(0,SUM($CS59:CS59)+MIN(0,ROUND($R59*EFBPercent+EFBAdd,2)-$Q59)))</f>
        <v>0</v>
      </c>
      <c r="DC59" s="192">
        <f>IF(CU59&lt;0,0,MAX(-CU59,MIN(0,ROUND($R59*EFBPercent+EFBAdd,2)-$Q59),MIN(0,SUM($CS59:CT59)+MIN(0,ROUND($R59*EFBPercent+EFBAdd,2)-$Q59))))</f>
        <v>0</v>
      </c>
      <c r="DD59" s="192">
        <f>IF(CV59&lt;0,0,MAX(-CV59,MIN(0,ROUND($R59*EFBPercent+EFBAdd,2)-$Q59),MIN(0,SUM($CS59:CU59)+MIN(0,ROUND($R59*EFBPercent+EFBAdd,2)-$Q59))))</f>
        <v>0</v>
      </c>
      <c r="DE59" s="192">
        <f>IF(CW59&lt;0,0,MAX(-CW59,MIN(0,ROUND($R59*EFBPercent+EFBAdd,2)-$Q59),MIN(0,SUM($CS59:CV59)+MIN(0,ROUND($R59*EFBPercent+EFBAdd,2)-$Q59))))</f>
        <v>0</v>
      </c>
      <c r="DF59" s="192">
        <f>IF(CX59&lt;0,0,MAX(-CX59,MIN(0,ROUND($R59*EFBPercent+EFBAdd,2)-$Q59),MIN(0,SUM($CS59:CW59)+MIN(0,ROUND($R59*EFBPercent+EFBAdd,2)-$Q59))))</f>
        <v>0</v>
      </c>
      <c r="DG59" s="192">
        <f>MAX(-CY59,MIN(0,ROUND($R59*EFBPercent+EFBAdd,2)-$Q59),MIN(0,SUM($CS59:CX59)+MIN(0,ROUND($R59*EFBPercent+EFBAdd,2)-$Q59)))</f>
        <v>0</v>
      </c>
      <c r="DI59" s="73">
        <f t="shared" si="34"/>
        <v>0</v>
      </c>
      <c r="DJ59" s="73">
        <f t="shared" si="35"/>
        <v>0</v>
      </c>
      <c r="DK59" s="73">
        <f t="shared" si="36"/>
        <v>0</v>
      </c>
      <c r="DL59" s="73">
        <f t="shared" si="37"/>
        <v>13629.52</v>
      </c>
      <c r="DM59" s="73">
        <f t="shared" si="38"/>
        <v>19282.96</v>
      </c>
      <c r="DN59" s="73">
        <f t="shared" si="39"/>
        <v>0</v>
      </c>
      <c r="DO59" s="73">
        <f t="shared" si="40"/>
        <v>0</v>
      </c>
      <c r="DP59" s="73"/>
      <c r="DQ59" s="73"/>
    </row>
    <row r="60" spans="1:121" ht="10.199999999999999" x14ac:dyDescent="0.2">
      <c r="A60" s="4" t="s">
        <v>538</v>
      </c>
      <c r="B60" s="188">
        <v>1062</v>
      </c>
      <c r="C60" s="189" t="s">
        <v>65</v>
      </c>
      <c r="D60" s="4">
        <v>2027</v>
      </c>
      <c r="E60" s="4" t="s">
        <v>381</v>
      </c>
      <c r="F60" s="4">
        <v>1</v>
      </c>
      <c r="G60" s="4" t="s">
        <v>670</v>
      </c>
      <c r="H60" s="4">
        <v>100</v>
      </c>
      <c r="I60" s="4" t="s">
        <v>1091</v>
      </c>
      <c r="J60" s="5">
        <v>1900103.9</v>
      </c>
      <c r="K60" s="5">
        <v>176.82</v>
      </c>
      <c r="L60" s="5">
        <v>539.26</v>
      </c>
      <c r="M60" s="5">
        <v>0</v>
      </c>
      <c r="N60" s="5">
        <v>12464022</v>
      </c>
      <c r="O60" s="5">
        <v>0</v>
      </c>
      <c r="P60" s="5">
        <v>76.650000000000006</v>
      </c>
      <c r="Q60" s="5">
        <v>0</v>
      </c>
      <c r="R60" s="5">
        <v>0</v>
      </c>
      <c r="S60" s="5">
        <v>9000</v>
      </c>
      <c r="T60" s="5">
        <v>0</v>
      </c>
      <c r="U60" s="5">
        <v>2629.75</v>
      </c>
      <c r="V60" s="5">
        <v>75044.909999999989</v>
      </c>
      <c r="W60" s="5">
        <v>5171.9399999999996</v>
      </c>
      <c r="X60" s="5">
        <v>3688.09</v>
      </c>
      <c r="Y60" s="5">
        <v>0.19</v>
      </c>
      <c r="Z60" s="5">
        <v>12</v>
      </c>
      <c r="AA60" s="5">
        <v>66</v>
      </c>
      <c r="AB60" s="5">
        <v>22</v>
      </c>
      <c r="AC60" s="5">
        <v>29</v>
      </c>
      <c r="AD60" s="5">
        <v>0</v>
      </c>
      <c r="AE60" s="5">
        <v>1</v>
      </c>
      <c r="AF60" s="5">
        <v>0</v>
      </c>
      <c r="AG60" s="5">
        <v>0</v>
      </c>
      <c r="AH60" s="5">
        <v>0.39</v>
      </c>
      <c r="AI60" s="5">
        <v>0</v>
      </c>
      <c r="AJ60" s="5">
        <v>0</v>
      </c>
      <c r="AK60" s="5">
        <v>0</v>
      </c>
      <c r="AL60" s="5">
        <v>133.24</v>
      </c>
      <c r="AM60" s="5">
        <v>0</v>
      </c>
      <c r="AN60" s="5">
        <v>129</v>
      </c>
      <c r="AO60" s="5">
        <f t="shared" si="41"/>
        <v>4.2400000000000091</v>
      </c>
      <c r="AP60" s="5">
        <f t="shared" ref="AP60:AP73" si="75">IF(AM60&gt;0,SUM(Z60:AD60)-AN60,0)</f>
        <v>0</v>
      </c>
      <c r="AQ60" s="5">
        <v>1.79</v>
      </c>
      <c r="AR60" s="5">
        <v>0.15</v>
      </c>
      <c r="AS60" s="5">
        <v>0</v>
      </c>
      <c r="AT60" s="5">
        <v>90636</v>
      </c>
      <c r="AU60" s="5">
        <v>0</v>
      </c>
      <c r="AV60" s="5">
        <v>1992</v>
      </c>
      <c r="AW60" s="5">
        <v>539.26</v>
      </c>
      <c r="AX60" s="5">
        <v>1</v>
      </c>
      <c r="AY60" s="199">
        <v>0</v>
      </c>
      <c r="AZ60" s="199">
        <v>0</v>
      </c>
      <c r="BA60" s="5">
        <v>264773.21000000002</v>
      </c>
      <c r="BB60" s="13">
        <v>726816.36</v>
      </c>
      <c r="BC60" s="190">
        <f>MAX(ROUND(IF(F60&lt;4,IF(H60=0,(SUM(Y60:AD60)*Worksheet!$E$26+Y60*Worksheet!$E$27+AR60*Worksheet!$E$39)*-BaseRate,0)),2),MIN(0,-DI60))</f>
        <v>0</v>
      </c>
      <c r="BD60" s="190">
        <f>MAX(ROUND(IF(F60=4,0,IF(I60=0,0,ROUND(SUM(Y60:AD60)*Worksheet!$E$28,2)*-BaseRate)),2),MIN(0,-DI60-BC60))</f>
        <v>-3024.58</v>
      </c>
      <c r="BE60" s="130">
        <f t="shared" si="23"/>
        <v>0</v>
      </c>
      <c r="BF60" s="130">
        <f t="shared" si="24"/>
        <v>1403</v>
      </c>
      <c r="BG60" s="73"/>
      <c r="BH60" s="191">
        <f t="shared" si="25"/>
        <v>52646.34</v>
      </c>
      <c r="BI60" s="191">
        <f t="shared" si="26"/>
        <v>10745.98</v>
      </c>
      <c r="BJ60" s="232">
        <f>IFERROR(ROUND(IF(AND(BB60*1.12&lt;N60*60/1000,N60/CL60&lt;STVPP*0.2),(CL60*STVPP*0.2*Worksheet!$F$88/1000-BB60*1.12)*PropTaxAdj,IF(BB60*1.12&lt;N60*60/1000,(N60*60/1000-BB60*1.12)*PropTaxAdj,0)),2),0)</f>
        <v>0</v>
      </c>
      <c r="BK60" s="192">
        <f>ROUND(IF($F60=4,0,Y60*Worksheet!$E$16),2)</f>
        <v>0.19</v>
      </c>
      <c r="BL60" s="192">
        <f>ROUND(IF($F60=4,0,Z60*Worksheet!$E$17),2)</f>
        <v>12</v>
      </c>
      <c r="BM60" s="192">
        <f>ROUND(IF($F60=4,0,AA60*Worksheet!$E$18),2)</f>
        <v>66</v>
      </c>
      <c r="BN60" s="192">
        <f>ROUND(IF($F60=4,0,AB60*Worksheet!$E$19),2)</f>
        <v>22</v>
      </c>
      <c r="BO60" s="192">
        <f>ROUND(IF($F60=4,0,AC60*Worksheet!$E$20),2)</f>
        <v>29</v>
      </c>
      <c r="BP60" s="192">
        <f>ROUND(AD60*Worksheet!$E$21,2)</f>
        <v>0</v>
      </c>
      <c r="BQ60" s="192">
        <f t="shared" si="27"/>
        <v>129.19</v>
      </c>
      <c r="BR60" s="192">
        <f>ROUND(AD60*Worksheet!$E$25,2)</f>
        <v>0</v>
      </c>
      <c r="BS60" s="192">
        <f>ROUND(SUM(BQ60)*Worksheet!$E$26,2)</f>
        <v>11.37</v>
      </c>
      <c r="BT60" s="192">
        <f>ROUND(Y60*Worksheet!$E$27,2)</f>
        <v>0.03</v>
      </c>
      <c r="BU60" s="192">
        <f>ROUND(AO60*Worksheet!$E$29,2)</f>
        <v>4.24</v>
      </c>
      <c r="BV60" s="192">
        <f>ROUND(AP60*Worksheet!$E$30,2)</f>
        <v>0</v>
      </c>
      <c r="BW60" s="192">
        <f>ROUND(IF($I60&lt;&gt;0,$BQ60*Worksheet!$E$28,0),2)</f>
        <v>0.26</v>
      </c>
      <c r="BX60" s="192">
        <f>ROUND(AE60*Worksheet!$E$31,2)</f>
        <v>0.4</v>
      </c>
      <c r="BY60" s="192">
        <f>ROUND(AF60*Worksheet!$E$32,2)</f>
        <v>0</v>
      </c>
      <c r="BZ60" s="192">
        <f>ROUND(AG60*Worksheet!$E$33,2)</f>
        <v>0</v>
      </c>
      <c r="CA60" s="192">
        <f>ROUND(ROUND(AH60*BQ60,2)*Worksheet!$E$34,2)</f>
        <v>1.26</v>
      </c>
      <c r="CB60" s="192">
        <f>ROUND(AI60*Worksheet!$E$35,2)</f>
        <v>0</v>
      </c>
      <c r="CC60" s="192">
        <f>ROUND(AJ60*Worksheet!$E$36,2)</f>
        <v>0</v>
      </c>
      <c r="CD60" s="192">
        <f>ROUND(AQ60*Worksheet!$E$38,2)</f>
        <v>1.07</v>
      </c>
      <c r="CE60" s="192">
        <f>ROUND(AR60*Worksheet!$E$39,2)</f>
        <v>0.15</v>
      </c>
      <c r="CF60" s="192">
        <f>IF(AND(L60&gt;275,SUM(Y60:AD60)&lt;100),ROUND(SUM(Y60:AD60)*Worksheet!$E$41,2),0)</f>
        <v>0</v>
      </c>
      <c r="CG60" s="192">
        <f>IF(AND(L60&gt;600,SUM(Y60:AD60)&lt;50),ROUND((50-SUM(Y60:AD60))*(Worksheet!$E$41+1),2),0)</f>
        <v>0</v>
      </c>
      <c r="CH60" s="192">
        <f t="shared" si="28"/>
        <v>147.97</v>
      </c>
      <c r="CI60" s="116">
        <f t="shared" si="43"/>
        <v>0</v>
      </c>
      <c r="CJ60" s="116">
        <f t="shared" si="44"/>
        <v>147.97</v>
      </c>
      <c r="CK60" s="95">
        <f t="shared" si="29"/>
        <v>1.6</v>
      </c>
      <c r="CL60" s="116">
        <f t="shared" si="45"/>
        <v>236.75</v>
      </c>
      <c r="CM60" s="116">
        <f t="shared" si="46"/>
        <v>236.75</v>
      </c>
      <c r="CN60" s="116">
        <f t="shared" si="30"/>
        <v>2754112.75</v>
      </c>
      <c r="CO60" s="131">
        <f>ROUND(IF(F60=4,0,(MAX(ROUND(MAX((BI60*MIN(CL60,K60)*Worksheet!$D$126)+MAX(CL60-K60,0)*Worksheet!$F$50,SUM(J60)),2),SUM(CN60))-SUM(CN60))*MinAdj),2)</f>
        <v>0</v>
      </c>
      <c r="CP60" s="192">
        <f t="shared" si="31"/>
        <v>2754112.75</v>
      </c>
      <c r="CQ60" s="131">
        <f>IF(CL60=0,0,-MIN(CP60,MIN(CP60,ROUND(IF(ROUND(IF(CL60=0,0,N60/CL60),2)&lt;STVPP*0.2,STVPP*0.2*CL60*Worksheet!$F$88/1000,N60*Worksheet!$F$88/1000),2))))</f>
        <v>-747841.32</v>
      </c>
      <c r="CR60" s="193">
        <f>-MIN(SUM(CP60,CQ60),IF($P60=0,(ROUND(Worksheet!$E$77*S60,2)+ROUND(Worksheet!$E$78*T60,2)+ROUND(Worksheet!$E$79*U60,2)+ROUND(Worksheet!$E$80*V60,2)+ROUND(Worksheet!$E$81*W60,2)+ROUND(Worksheet!$E$82*X60,2)),(ROUND(ROUND(S60*ROUND((1-$O60/$P60),4),2)*Worksheet!$E$77,2)+ROUND(ROUND(T60*ROUND((1-$O60/$P60),4),2)*Worksheet!$E$78,2)+ROUND(ROUND(U60*ROUND((1-$O60/$P60),4),2)*Worksheet!$E$79,2)+ROUND(ROUND(V60*ROUND((1-$O60/$P60),4),2)*Worksheet!$E$80,2)+ROUND(ROUND(W60*ROUND((1-$O60/$P60),4),2)*Worksheet!$E$81,2)+ROUND(ROUND(X60*ROUND((1-$O60/$P60),4),2)*Worksheet!$E$82,2))))</f>
        <v>-71651.02</v>
      </c>
      <c r="CS60" s="192">
        <f t="shared" si="32"/>
        <v>1934620.4100000001</v>
      </c>
      <c r="CT60" s="116">
        <f>ROUND(MIN(BA60,ROUND((ROUND(AS60*Worksheet!$E$104,2)+ROUND(AV60*Worksheet!$E$107,2)+ROUND(AT60*Worksheet!$E$105,2)+ROUND(AW60*Worksheet!$E$108,2)+ROUND(AU60*Worksheet!$E$106,2)+ROUND(AX60*Worksheet!$E$109,2)+ROUND(AY60*Worksheet!$E$110,2)+ROUND(AZ60*Worksheet!$E$111,2))*Worksheet!$D$114,2))*BaseRate,2)</f>
        <v>135640.78</v>
      </c>
      <c r="CU60" s="121">
        <v>0</v>
      </c>
      <c r="CV60" s="121">
        <v>0</v>
      </c>
      <c r="CW60" s="121">
        <v>0</v>
      </c>
      <c r="CX60" s="121">
        <v>0</v>
      </c>
      <c r="CY60" s="121">
        <v>0</v>
      </c>
      <c r="DA60" s="192">
        <f t="shared" si="33"/>
        <v>0</v>
      </c>
      <c r="DB60" s="192">
        <f>MAX(-CT60,MIN(0,ROUND($R60*EFBPercent+EFBAdd,2)-$Q60),MIN(0,SUM($CS60:CS60)+MIN(0,ROUND($R60*EFBPercent+EFBAdd,2)-$Q60)))</f>
        <v>0</v>
      </c>
      <c r="DC60" s="192">
        <f>IF(CU60&lt;0,0,MAX(-CU60,MIN(0,ROUND($R60*EFBPercent+EFBAdd,2)-$Q60),MIN(0,SUM($CS60:CT60)+MIN(0,ROUND($R60*EFBPercent+EFBAdd,2)-$Q60))))</f>
        <v>0</v>
      </c>
      <c r="DD60" s="192">
        <f>IF(CV60&lt;0,0,MAX(-CV60,MIN(0,ROUND($R60*EFBPercent+EFBAdd,2)-$Q60),MIN(0,SUM($CS60:CU60)+MIN(0,ROUND($R60*EFBPercent+EFBAdd,2)-$Q60))))</f>
        <v>0</v>
      </c>
      <c r="DE60" s="192">
        <f>IF(CW60&lt;0,0,MAX(-CW60,MIN(0,ROUND($R60*EFBPercent+EFBAdd,2)-$Q60),MIN(0,SUM($CS60:CV60)+MIN(0,ROUND($R60*EFBPercent+EFBAdd,2)-$Q60))))</f>
        <v>0</v>
      </c>
      <c r="DF60" s="192">
        <f>IF(CX60&lt;0,0,MAX(-CX60,MIN(0,ROUND($R60*EFBPercent+EFBAdd,2)-$Q60),MIN(0,SUM($CS60:CW60)+MIN(0,ROUND($R60*EFBPercent+EFBAdd,2)-$Q60))))</f>
        <v>0</v>
      </c>
      <c r="DG60" s="192">
        <f>MAX(-CY60,MIN(0,ROUND($R60*EFBPercent+EFBAdd,2)-$Q60),MIN(0,SUM($CS60:CX60)+MIN(0,ROUND($R60*EFBPercent+EFBAdd,2)-$Q60)))</f>
        <v>0</v>
      </c>
      <c r="DI60" s="73">
        <f t="shared" si="34"/>
        <v>1934620.4100000001</v>
      </c>
      <c r="DJ60" s="73">
        <f t="shared" si="35"/>
        <v>135640.78</v>
      </c>
      <c r="DK60" s="73">
        <f t="shared" si="36"/>
        <v>0</v>
      </c>
      <c r="DL60" s="73">
        <f t="shared" si="37"/>
        <v>0</v>
      </c>
      <c r="DM60" s="73">
        <f t="shared" si="38"/>
        <v>0</v>
      </c>
      <c r="DN60" s="73">
        <f t="shared" si="39"/>
        <v>0</v>
      </c>
      <c r="DO60" s="73">
        <f t="shared" si="40"/>
        <v>0</v>
      </c>
      <c r="DP60" s="73"/>
      <c r="DQ60" s="73"/>
    </row>
    <row r="61" spans="1:121" ht="10.199999999999999" x14ac:dyDescent="0.2">
      <c r="A61" s="4" t="s">
        <v>539</v>
      </c>
      <c r="B61" s="188">
        <v>1153</v>
      </c>
      <c r="C61" s="189" t="s">
        <v>66</v>
      </c>
      <c r="D61" s="4">
        <v>2027</v>
      </c>
      <c r="E61" s="4" t="s">
        <v>382</v>
      </c>
      <c r="F61" s="4">
        <v>1</v>
      </c>
      <c r="G61" s="4" t="s">
        <v>670</v>
      </c>
      <c r="H61" s="4">
        <v>100</v>
      </c>
      <c r="I61" s="4" t="s">
        <v>1091</v>
      </c>
      <c r="J61" s="5">
        <v>2037981.62</v>
      </c>
      <c r="K61" s="5">
        <v>197.23</v>
      </c>
      <c r="L61" s="5">
        <v>354.9</v>
      </c>
      <c r="M61" s="5">
        <v>0</v>
      </c>
      <c r="N61" s="5">
        <v>14057115</v>
      </c>
      <c r="O61" s="5">
        <v>20.21</v>
      </c>
      <c r="P61" s="5">
        <v>95.149999999999977</v>
      </c>
      <c r="Q61" s="5">
        <v>0</v>
      </c>
      <c r="R61" s="5">
        <v>0</v>
      </c>
      <c r="S61" s="5">
        <v>480</v>
      </c>
      <c r="T61" s="5">
        <v>0</v>
      </c>
      <c r="U61" s="5">
        <v>1611.46</v>
      </c>
      <c r="V61" s="5">
        <v>13355.92</v>
      </c>
      <c r="W61" s="5">
        <v>826.47</v>
      </c>
      <c r="X61" s="5">
        <v>3906.31</v>
      </c>
      <c r="Y61" s="5">
        <v>1</v>
      </c>
      <c r="Z61" s="5">
        <v>7</v>
      </c>
      <c r="AA61" s="5">
        <v>44</v>
      </c>
      <c r="AB61" s="5">
        <v>18</v>
      </c>
      <c r="AC61" s="5">
        <v>28</v>
      </c>
      <c r="AD61" s="5">
        <v>0</v>
      </c>
      <c r="AE61" s="5">
        <v>0</v>
      </c>
      <c r="AF61" s="5">
        <v>0</v>
      </c>
      <c r="AG61" s="5">
        <v>0</v>
      </c>
      <c r="AH61" s="5">
        <v>0.50700000000000001</v>
      </c>
      <c r="AI61" s="5">
        <v>0</v>
      </c>
      <c r="AJ61" s="5">
        <v>0</v>
      </c>
      <c r="AK61" s="5">
        <v>0</v>
      </c>
      <c r="AL61" s="5">
        <v>100.35</v>
      </c>
      <c r="AM61" s="5">
        <v>0</v>
      </c>
      <c r="AN61" s="5">
        <v>97</v>
      </c>
      <c r="AO61" s="5">
        <f t="shared" si="41"/>
        <v>3.3499999999999943</v>
      </c>
      <c r="AP61" s="5">
        <f t="shared" si="75"/>
        <v>0</v>
      </c>
      <c r="AQ61" s="5">
        <v>0.5</v>
      </c>
      <c r="AR61" s="5">
        <v>0.04</v>
      </c>
      <c r="AS61" s="5">
        <v>0</v>
      </c>
      <c r="AT61" s="5">
        <v>84816</v>
      </c>
      <c r="AU61" s="5">
        <v>0</v>
      </c>
      <c r="AV61" s="5">
        <v>1368</v>
      </c>
      <c r="AW61" s="5">
        <v>354.9</v>
      </c>
      <c r="AX61" s="5">
        <v>1</v>
      </c>
      <c r="AY61" s="199">
        <v>0</v>
      </c>
      <c r="AZ61" s="199">
        <v>0</v>
      </c>
      <c r="BA61" s="5">
        <v>201970.11</v>
      </c>
      <c r="BB61" s="13">
        <v>820902.9</v>
      </c>
      <c r="BC61" s="190">
        <f>MAX(ROUND(IF(F61&lt;4,IF(H61=0,(SUM(Y61:AD61)*Worksheet!$E$26+Y61*Worksheet!$E$27+AR61*Worksheet!$E$39)*-BaseRate,0)),2),MIN(0,-DI61))</f>
        <v>0</v>
      </c>
      <c r="BD61" s="190">
        <f>MAX(ROUND(IF(F61=4,0,IF(I61=0,0,ROUND(SUM(Y61:AD61)*Worksheet!$E$28,2)*-BaseRate)),2),MIN(0,-DI61-BC61))</f>
        <v>-2326.6</v>
      </c>
      <c r="BE61" s="130">
        <f t="shared" si="23"/>
        <v>0</v>
      </c>
      <c r="BF61" s="130">
        <f t="shared" si="24"/>
        <v>1403</v>
      </c>
      <c r="BG61" s="73"/>
      <c r="BH61" s="191">
        <f t="shared" si="25"/>
        <v>69154.89</v>
      </c>
      <c r="BI61" s="191">
        <f t="shared" si="26"/>
        <v>10333.02</v>
      </c>
      <c r="BJ61" s="232">
        <f>IFERROR(ROUND(IF(AND(BB61*1.12&lt;N61*60/1000,N61/CL61&lt;STVPP*0.2),(CL61*STVPP*0.2*Worksheet!$F$88/1000-BB61*1.12)*PropTaxAdj,IF(BB61*1.12&lt;N61*60/1000,(N61*60/1000-BB61*1.12)*PropTaxAdj,0)),2),0)</f>
        <v>0</v>
      </c>
      <c r="BK61" s="192">
        <f>ROUND(IF($F61=4,0,Y61*Worksheet!$E$16),2)</f>
        <v>1</v>
      </c>
      <c r="BL61" s="192">
        <f>ROUND(IF($F61=4,0,Z61*Worksheet!$E$17),2)</f>
        <v>7</v>
      </c>
      <c r="BM61" s="192">
        <f>ROUND(IF($F61=4,0,AA61*Worksheet!$E$18),2)</f>
        <v>44</v>
      </c>
      <c r="BN61" s="192">
        <f>ROUND(IF($F61=4,0,AB61*Worksheet!$E$19),2)</f>
        <v>18</v>
      </c>
      <c r="BO61" s="192">
        <f>ROUND(IF($F61=4,0,AC61*Worksheet!$E$20),2)</f>
        <v>28</v>
      </c>
      <c r="BP61" s="192">
        <f>ROUND(AD61*Worksheet!$E$21,2)</f>
        <v>0</v>
      </c>
      <c r="BQ61" s="192">
        <f t="shared" si="27"/>
        <v>98</v>
      </c>
      <c r="BR61" s="192">
        <f>ROUND(AD61*Worksheet!$E$25,2)</f>
        <v>0</v>
      </c>
      <c r="BS61" s="192">
        <f>ROUND(SUM(BQ61)*Worksheet!$E$26,2)</f>
        <v>8.6199999999999992</v>
      </c>
      <c r="BT61" s="192">
        <f>ROUND(Y61*Worksheet!$E$27,2)</f>
        <v>0.17</v>
      </c>
      <c r="BU61" s="192">
        <f>ROUND(AO61*Worksheet!$E$29,2)</f>
        <v>3.35</v>
      </c>
      <c r="BV61" s="192">
        <f>ROUND(AP61*Worksheet!$E$30,2)</f>
        <v>0</v>
      </c>
      <c r="BW61" s="192">
        <f>ROUND(IF($I61&lt;&gt;0,$BQ61*Worksheet!$E$28,0),2)</f>
        <v>0.2</v>
      </c>
      <c r="BX61" s="192">
        <f>ROUND(AE61*Worksheet!$E$31,2)</f>
        <v>0</v>
      </c>
      <c r="BY61" s="192">
        <f>ROUND(AF61*Worksheet!$E$32,2)</f>
        <v>0</v>
      </c>
      <c r="BZ61" s="192">
        <f>ROUND(AG61*Worksheet!$E$33,2)</f>
        <v>0</v>
      </c>
      <c r="CA61" s="192">
        <f>ROUND(ROUND(AH61*BQ61,2)*Worksheet!$E$34,2)</f>
        <v>1.24</v>
      </c>
      <c r="CB61" s="192">
        <f>ROUND(AI61*Worksheet!$E$35,2)</f>
        <v>0</v>
      </c>
      <c r="CC61" s="192">
        <f>ROUND(AJ61*Worksheet!$E$36,2)</f>
        <v>0</v>
      </c>
      <c r="CD61" s="192">
        <f>ROUND(AQ61*Worksheet!$E$38,2)</f>
        <v>0.3</v>
      </c>
      <c r="CE61" s="192">
        <f>ROUND(AR61*Worksheet!$E$39,2)</f>
        <v>0.04</v>
      </c>
      <c r="CF61" s="192">
        <f>IF(AND(L61&gt;275,SUM(Y61:AD61)&lt;100),ROUND(SUM(Y61:AD61)*Worksheet!$E$41,2),0)</f>
        <v>9.8000000000000007</v>
      </c>
      <c r="CG61" s="192">
        <f>IF(AND(L61&gt;600,SUM(Y61:AD61)&lt;50),ROUND((50-SUM(Y61:AD61))*(Worksheet!$E$41+1),2),0)</f>
        <v>0</v>
      </c>
      <c r="CH61" s="192">
        <f t="shared" si="28"/>
        <v>121.72</v>
      </c>
      <c r="CI61" s="116">
        <f t="shared" si="43"/>
        <v>0</v>
      </c>
      <c r="CJ61" s="116">
        <f t="shared" si="44"/>
        <v>121.72</v>
      </c>
      <c r="CK61" s="95">
        <f t="shared" si="29"/>
        <v>1.67</v>
      </c>
      <c r="CL61" s="116">
        <f t="shared" si="45"/>
        <v>203.27</v>
      </c>
      <c r="CM61" s="116">
        <f t="shared" si="46"/>
        <v>203.27</v>
      </c>
      <c r="CN61" s="116">
        <f t="shared" si="30"/>
        <v>2364639.91</v>
      </c>
      <c r="CO61" s="131">
        <f>ROUND(IF(F61=4,0,(MAX(ROUND(MAX((BI61*MIN(CL61,K61)*Worksheet!$D$126)+MAX(CL61-K61,0)*Worksheet!$F$50,SUM(J61)),2),SUM(CN61))-SUM(CN61))*MinAdj),2)</f>
        <v>0</v>
      </c>
      <c r="CP61" s="192">
        <f t="shared" si="31"/>
        <v>2364639.91</v>
      </c>
      <c r="CQ61" s="131">
        <f>IF(CL61=0,0,-MIN(CP61,MIN(CP61,ROUND(IF(ROUND(IF(CL61=0,0,N61/CL61),2)&lt;STVPP*0.2,STVPP*0.2*CL61*Worksheet!$F$88/1000,N61*Worksheet!$F$88/1000),2))))</f>
        <v>-843426.9</v>
      </c>
      <c r="CR61" s="193">
        <f>-MIN(SUM(CP61,CQ61),IF($P61=0,(ROUND(Worksheet!$E$77*S61,2)+ROUND(Worksheet!$E$78*T61,2)+ROUND(Worksheet!$E$79*U61,2)+ROUND(Worksheet!$E$80*V61,2)+ROUND(Worksheet!$E$81*W61,2)+ROUND(Worksheet!$E$82*X61,2)),(ROUND(ROUND(S61*ROUND((1-$O61/$P61),4),2)*Worksheet!$E$77,2)+ROUND(ROUND(T61*ROUND((1-$O61/$P61),4),2)*Worksheet!$E$78,2)+ROUND(ROUND(U61*ROUND((1-$O61/$P61),4),2)*Worksheet!$E$79,2)+ROUND(ROUND(V61*ROUND((1-$O61/$P61),4),2)*Worksheet!$E$80,2)+ROUND(ROUND(W61*ROUND((1-$O61/$P61),4),2)*Worksheet!$E$81,2)+ROUND(ROUND(X61*ROUND((1-$O61/$P61),4),2)*Worksheet!$E$82,2))))</f>
        <v>-11920.43</v>
      </c>
      <c r="CS61" s="192">
        <f t="shared" si="32"/>
        <v>1509292.5800000003</v>
      </c>
      <c r="CT61" s="116">
        <f>ROUND(MIN(BA61,ROUND((ROUND(AS61*Worksheet!$E$104,2)+ROUND(AV61*Worksheet!$E$107,2)+ROUND(AT61*Worksheet!$E$105,2)+ROUND(AW61*Worksheet!$E$108,2)+ROUND(AU61*Worksheet!$E$106,2)+ROUND(AX61*Worksheet!$E$109,2)+ROUND(AY61*Worksheet!$E$110,2)+ROUND(AZ61*Worksheet!$E$111,2))*Worksheet!$D$114,2))*BaseRate,2)</f>
        <v>119819.9</v>
      </c>
      <c r="CU61" s="121">
        <v>0</v>
      </c>
      <c r="CV61" s="121">
        <v>0</v>
      </c>
      <c r="CW61" s="121">
        <v>0</v>
      </c>
      <c r="CX61" s="121">
        <v>0</v>
      </c>
      <c r="CY61" s="121">
        <v>0</v>
      </c>
      <c r="DA61" s="192">
        <f t="shared" si="33"/>
        <v>0</v>
      </c>
      <c r="DB61" s="192">
        <f>MAX(-CT61,MIN(0,ROUND($R61*EFBPercent+EFBAdd,2)-$Q61),MIN(0,SUM($CS61:CS61)+MIN(0,ROUND($R61*EFBPercent+EFBAdd,2)-$Q61)))</f>
        <v>0</v>
      </c>
      <c r="DC61" s="192">
        <f>IF(CU61&lt;0,0,MAX(-CU61,MIN(0,ROUND($R61*EFBPercent+EFBAdd,2)-$Q61),MIN(0,SUM($CS61:CT61)+MIN(0,ROUND($R61*EFBPercent+EFBAdd,2)-$Q61))))</f>
        <v>0</v>
      </c>
      <c r="DD61" s="192">
        <f>IF(CV61&lt;0,0,MAX(-CV61,MIN(0,ROUND($R61*EFBPercent+EFBAdd,2)-$Q61),MIN(0,SUM($CS61:CU61)+MIN(0,ROUND($R61*EFBPercent+EFBAdd,2)-$Q61))))</f>
        <v>0</v>
      </c>
      <c r="DE61" s="192">
        <f>IF(CW61&lt;0,0,MAX(-CW61,MIN(0,ROUND($R61*EFBPercent+EFBAdd,2)-$Q61),MIN(0,SUM($CS61:CV61)+MIN(0,ROUND($R61*EFBPercent+EFBAdd,2)-$Q61))))</f>
        <v>0</v>
      </c>
      <c r="DF61" s="192">
        <f>IF(CX61&lt;0,0,MAX(-CX61,MIN(0,ROUND($R61*EFBPercent+EFBAdd,2)-$Q61),MIN(0,SUM($CS61:CW61)+MIN(0,ROUND($R61*EFBPercent+EFBAdd,2)-$Q61))))</f>
        <v>0</v>
      </c>
      <c r="DG61" s="192">
        <f>MAX(-CY61,MIN(0,ROUND($R61*EFBPercent+EFBAdd,2)-$Q61),MIN(0,SUM($CS61:CX61)+MIN(0,ROUND($R61*EFBPercent+EFBAdd,2)-$Q61)))</f>
        <v>0</v>
      </c>
      <c r="DI61" s="73">
        <f t="shared" si="34"/>
        <v>1509292.5800000003</v>
      </c>
      <c r="DJ61" s="73">
        <f t="shared" si="35"/>
        <v>119819.9</v>
      </c>
      <c r="DK61" s="73">
        <f t="shared" si="36"/>
        <v>0</v>
      </c>
      <c r="DL61" s="73">
        <f t="shared" si="37"/>
        <v>0</v>
      </c>
      <c r="DM61" s="73">
        <f t="shared" si="38"/>
        <v>0</v>
      </c>
      <c r="DN61" s="73">
        <f t="shared" si="39"/>
        <v>0</v>
      </c>
      <c r="DO61" s="73">
        <f t="shared" si="40"/>
        <v>0</v>
      </c>
      <c r="DP61" s="73"/>
      <c r="DQ61" s="73"/>
    </row>
    <row r="62" spans="1:121" ht="10.199999999999999" x14ac:dyDescent="0.2">
      <c r="A62" s="4" t="s">
        <v>540</v>
      </c>
      <c r="B62" s="188">
        <v>1083</v>
      </c>
      <c r="C62" s="189" t="s">
        <v>67</v>
      </c>
      <c r="D62" s="4">
        <v>2027</v>
      </c>
      <c r="E62" s="4" t="s">
        <v>383</v>
      </c>
      <c r="F62" s="4">
        <v>1</v>
      </c>
      <c r="G62" s="4" t="s">
        <v>670</v>
      </c>
      <c r="H62" s="4">
        <v>100</v>
      </c>
      <c r="I62" s="4" t="s">
        <v>1091</v>
      </c>
      <c r="J62" s="5">
        <v>3239512.6400000006</v>
      </c>
      <c r="K62" s="5">
        <v>335.84</v>
      </c>
      <c r="L62" s="5">
        <v>413.51</v>
      </c>
      <c r="M62" s="5">
        <v>0</v>
      </c>
      <c r="N62" s="5">
        <v>15962041</v>
      </c>
      <c r="O62" s="5">
        <v>0</v>
      </c>
      <c r="P62" s="5">
        <v>74.95</v>
      </c>
      <c r="Q62" s="5">
        <v>0</v>
      </c>
      <c r="R62" s="5">
        <v>0</v>
      </c>
      <c r="S62" s="5">
        <v>13000</v>
      </c>
      <c r="T62" s="5">
        <v>0</v>
      </c>
      <c r="U62" s="5">
        <v>2298.8200000000002</v>
      </c>
      <c r="V62" s="5">
        <v>168523.34</v>
      </c>
      <c r="W62" s="5">
        <v>1481.81</v>
      </c>
      <c r="X62" s="5">
        <v>14615.859999999999</v>
      </c>
      <c r="Y62" s="5">
        <v>0.43</v>
      </c>
      <c r="Z62" s="5">
        <v>23</v>
      </c>
      <c r="AA62" s="5">
        <v>109</v>
      </c>
      <c r="AB62" s="5">
        <v>28</v>
      </c>
      <c r="AC62" s="5">
        <v>82</v>
      </c>
      <c r="AD62" s="5">
        <v>0</v>
      </c>
      <c r="AE62" s="5">
        <v>0</v>
      </c>
      <c r="AF62" s="5">
        <v>0</v>
      </c>
      <c r="AG62" s="5">
        <v>0</v>
      </c>
      <c r="AH62" s="5">
        <v>0.32500000000000001</v>
      </c>
      <c r="AI62" s="5">
        <v>0</v>
      </c>
      <c r="AJ62" s="5">
        <v>0</v>
      </c>
      <c r="AK62" s="5">
        <v>0</v>
      </c>
      <c r="AL62" s="5">
        <v>250.41</v>
      </c>
      <c r="AM62" s="5">
        <v>20.580000000000013</v>
      </c>
      <c r="AN62" s="5">
        <v>242</v>
      </c>
      <c r="AO62" s="5">
        <f t="shared" si="41"/>
        <v>8.4099999999999966</v>
      </c>
      <c r="AP62" s="5">
        <f t="shared" si="75"/>
        <v>0</v>
      </c>
      <c r="AQ62" s="5">
        <v>9.69</v>
      </c>
      <c r="AR62" s="5">
        <v>0</v>
      </c>
      <c r="AS62" s="5">
        <v>0</v>
      </c>
      <c r="AT62" s="5">
        <v>114240</v>
      </c>
      <c r="AU62" s="5">
        <v>0</v>
      </c>
      <c r="AV62" s="5">
        <v>1360</v>
      </c>
      <c r="AW62" s="5">
        <v>413.51</v>
      </c>
      <c r="AX62" s="5">
        <v>1</v>
      </c>
      <c r="AY62" s="199">
        <v>17940</v>
      </c>
      <c r="AZ62" s="199">
        <v>0</v>
      </c>
      <c r="BA62" s="5">
        <v>307777.58</v>
      </c>
      <c r="BB62" s="13">
        <v>925377.42</v>
      </c>
      <c r="BC62" s="190">
        <f>MAX(ROUND(IF(F62&lt;4,IF(H62=0,(SUM(Y62:AD62)*Worksheet!$E$26+Y62*Worksheet!$E$27+AR62*Worksheet!$E$39)*-BaseRate,0)),2),MIN(0,-DI62))</f>
        <v>0</v>
      </c>
      <c r="BD62" s="190">
        <f>MAX(ROUND(IF(F62=4,0,IF(I62=0,0,ROUND(SUM(Y62:AD62)*Worksheet!$E$28,2)*-BaseRate)),2),MIN(0,-DI62-BC62))</f>
        <v>-5583.84</v>
      </c>
      <c r="BE62" s="130">
        <f t="shared" si="23"/>
        <v>0</v>
      </c>
      <c r="BF62" s="130">
        <f t="shared" si="24"/>
        <v>1403</v>
      </c>
      <c r="BG62" s="73"/>
      <c r="BH62" s="191">
        <f t="shared" si="25"/>
        <v>46643.99</v>
      </c>
      <c r="BI62" s="191">
        <f t="shared" si="26"/>
        <v>9646</v>
      </c>
      <c r="BJ62" s="232">
        <f>IFERROR(ROUND(IF(AND(BB62*1.12&lt;N62*60/1000,N62/CL62&lt;STVPP*0.2),(CL62*STVPP*0.2*Worksheet!$F$88/1000-BB62*1.12)*PropTaxAdj,IF(BB62*1.12&lt;N62*60/1000,(N62*60/1000-BB62*1.12)*PropTaxAdj,0)),2),0)</f>
        <v>0</v>
      </c>
      <c r="BK62" s="192">
        <f>ROUND(IF($F62=4,0,Y62*Worksheet!$E$16),2)</f>
        <v>0.43</v>
      </c>
      <c r="BL62" s="192">
        <f>ROUND(IF($F62=4,0,Z62*Worksheet!$E$17),2)</f>
        <v>23</v>
      </c>
      <c r="BM62" s="192">
        <f>ROUND(IF($F62=4,0,AA62*Worksheet!$E$18),2)</f>
        <v>109</v>
      </c>
      <c r="BN62" s="192">
        <f>ROUND(IF($F62=4,0,AB62*Worksheet!$E$19),2)</f>
        <v>28</v>
      </c>
      <c r="BO62" s="192">
        <f>ROUND(IF($F62=4,0,AC62*Worksheet!$E$20),2)</f>
        <v>82</v>
      </c>
      <c r="BP62" s="192">
        <f>ROUND(AD62*Worksheet!$E$21,2)</f>
        <v>0</v>
      </c>
      <c r="BQ62" s="192">
        <f t="shared" si="27"/>
        <v>242.43</v>
      </c>
      <c r="BR62" s="192">
        <f>ROUND(AD62*Worksheet!$E$25,2)</f>
        <v>0</v>
      </c>
      <c r="BS62" s="192">
        <f>ROUND(SUM(BQ62)*Worksheet!$E$26,2)</f>
        <v>21.33</v>
      </c>
      <c r="BT62" s="192">
        <f>ROUND(Y62*Worksheet!$E$27,2)</f>
        <v>7.0000000000000007E-2</v>
      </c>
      <c r="BU62" s="192">
        <f>ROUND(AO62*Worksheet!$E$29,2)</f>
        <v>8.41</v>
      </c>
      <c r="BV62" s="192">
        <f>ROUND(AP62*Worksheet!$E$30,2)</f>
        <v>0</v>
      </c>
      <c r="BW62" s="192">
        <f>ROUND(IF($I62&lt;&gt;0,$BQ62*Worksheet!$E$28,0),2)</f>
        <v>0.48</v>
      </c>
      <c r="BX62" s="192">
        <f>ROUND(AE62*Worksheet!$E$31,2)</f>
        <v>0</v>
      </c>
      <c r="BY62" s="192">
        <f>ROUND(AF62*Worksheet!$E$32,2)</f>
        <v>0</v>
      </c>
      <c r="BZ62" s="192">
        <f>ROUND(AG62*Worksheet!$E$33,2)</f>
        <v>0</v>
      </c>
      <c r="CA62" s="192">
        <f>ROUND(ROUND(AH62*BQ62,2)*Worksheet!$E$34,2)</f>
        <v>1.97</v>
      </c>
      <c r="CB62" s="192">
        <f>ROUND(AI62*Worksheet!$E$35,2)</f>
        <v>0</v>
      </c>
      <c r="CC62" s="192">
        <f>ROUND(AJ62*Worksheet!$E$36,2)</f>
        <v>0</v>
      </c>
      <c r="CD62" s="192">
        <f>ROUND(AQ62*Worksheet!$E$38,2)</f>
        <v>5.81</v>
      </c>
      <c r="CE62" s="192">
        <f>ROUND(AR62*Worksheet!$E$39,2)</f>
        <v>0</v>
      </c>
      <c r="CF62" s="192">
        <f>IF(AND(L62&gt;275,SUM(Y62:AD62)&lt;100),ROUND(SUM(Y62:AD62)*Worksheet!$E$41,2),0)</f>
        <v>0</v>
      </c>
      <c r="CG62" s="192">
        <f>IF(AND(L62&gt;600,SUM(Y62:AD62)&lt;50),ROUND((50-SUM(Y62:AD62))*(Worksheet!$E$41+1),2),0)</f>
        <v>0</v>
      </c>
      <c r="CH62" s="192">
        <f t="shared" si="28"/>
        <v>280.50000000000006</v>
      </c>
      <c r="CI62" s="116">
        <f t="shared" si="43"/>
        <v>0</v>
      </c>
      <c r="CJ62" s="116">
        <f t="shared" si="44"/>
        <v>280.50000000000006</v>
      </c>
      <c r="CK62" s="95">
        <f t="shared" si="29"/>
        <v>1.22</v>
      </c>
      <c r="CL62" s="116">
        <f t="shared" si="45"/>
        <v>342.21</v>
      </c>
      <c r="CM62" s="116">
        <f t="shared" si="46"/>
        <v>342.21</v>
      </c>
      <c r="CN62" s="116">
        <f t="shared" si="30"/>
        <v>3980928.93</v>
      </c>
      <c r="CO62" s="131">
        <f>ROUND(IF(F62=4,0,(MAX(ROUND(MAX((BI62*MIN(CL62,K62)*Worksheet!$D$126)+MAX(CL62-K62,0)*Worksheet!$F$50,SUM(J62)),2),SUM(CN62))-SUM(CN62))*MinAdj),2)</f>
        <v>0</v>
      </c>
      <c r="CP62" s="192">
        <f t="shared" si="31"/>
        <v>3980928.93</v>
      </c>
      <c r="CQ62" s="131">
        <f>IF(CL62=0,0,-MIN(CP62,MIN(CP62,ROUND(IF(ROUND(IF(CL62=0,0,N62/CL62),2)&lt;STVPP*0.2,STVPP*0.2*CL62*Worksheet!$F$88/1000,N62*Worksheet!$F$88/1000),2))))</f>
        <v>-957722.46</v>
      </c>
      <c r="CR62" s="193">
        <f>-MIN(SUM(CP62,CQ62),IF($P62=0,(ROUND(Worksheet!$E$77*S62,2)+ROUND(Worksheet!$E$78*T62,2)+ROUND(Worksheet!$E$79*U62,2)+ROUND(Worksheet!$E$80*V62,2)+ROUND(Worksheet!$E$81*W62,2)+ROUND(Worksheet!$E$82*X62,2)),(ROUND(ROUND(S62*ROUND((1-$O62/$P62),4),2)*Worksheet!$E$77,2)+ROUND(ROUND(T62*ROUND((1-$O62/$P62),4),2)*Worksheet!$E$78,2)+ROUND(ROUND(U62*ROUND((1-$O62/$P62),4),2)*Worksheet!$E$79,2)+ROUND(ROUND(V62*ROUND((1-$O62/$P62),4),2)*Worksheet!$E$80,2)+ROUND(ROUND(W62*ROUND((1-$O62/$P62),4),2)*Worksheet!$E$81,2)+ROUND(ROUND(X62*ROUND((1-$O62/$P62),4),2)*Worksheet!$E$82,2))))</f>
        <v>-149939.88999999998</v>
      </c>
      <c r="CS62" s="192">
        <f t="shared" si="32"/>
        <v>2873266.58</v>
      </c>
      <c r="CT62" s="116">
        <f>ROUND(MIN(BA62,ROUND((ROUND(AS62*Worksheet!$E$104,2)+ROUND(AV62*Worksheet!$E$107,2)+ROUND(AT62*Worksheet!$E$105,2)+ROUND(AW62*Worksheet!$E$108,2)+ROUND(AU62*Worksheet!$E$106,2)+ROUND(AX62*Worksheet!$E$109,2)+ROUND(AY62*Worksheet!$E$110,2)+ROUND(AZ62*Worksheet!$E$111,2))*Worksheet!$D$114,2))*BaseRate,2)</f>
        <v>159488.43</v>
      </c>
      <c r="CU62" s="121">
        <v>0</v>
      </c>
      <c r="CV62" s="121">
        <v>0</v>
      </c>
      <c r="CW62" s="121">
        <v>0</v>
      </c>
      <c r="CX62" s="121">
        <v>0</v>
      </c>
      <c r="CY62" s="121">
        <v>0</v>
      </c>
      <c r="DA62" s="192">
        <f t="shared" si="33"/>
        <v>0</v>
      </c>
      <c r="DB62" s="192">
        <f>MAX(-CT62,MIN(0,ROUND($R62*EFBPercent+EFBAdd,2)-$Q62),MIN(0,SUM($CS62:CS62)+MIN(0,ROUND($R62*EFBPercent+EFBAdd,2)-$Q62)))</f>
        <v>0</v>
      </c>
      <c r="DC62" s="192">
        <f>IF(CU62&lt;0,0,MAX(-CU62,MIN(0,ROUND($R62*EFBPercent+EFBAdd,2)-$Q62),MIN(0,SUM($CS62:CT62)+MIN(0,ROUND($R62*EFBPercent+EFBAdd,2)-$Q62))))</f>
        <v>0</v>
      </c>
      <c r="DD62" s="192">
        <f>IF(CV62&lt;0,0,MAX(-CV62,MIN(0,ROUND($R62*EFBPercent+EFBAdd,2)-$Q62),MIN(0,SUM($CS62:CU62)+MIN(0,ROUND($R62*EFBPercent+EFBAdd,2)-$Q62))))</f>
        <v>0</v>
      </c>
      <c r="DE62" s="192">
        <f>IF(CW62&lt;0,0,MAX(-CW62,MIN(0,ROUND($R62*EFBPercent+EFBAdd,2)-$Q62),MIN(0,SUM($CS62:CV62)+MIN(0,ROUND($R62*EFBPercent+EFBAdd,2)-$Q62))))</f>
        <v>0</v>
      </c>
      <c r="DF62" s="192">
        <f>IF(CX62&lt;0,0,MAX(-CX62,MIN(0,ROUND($R62*EFBPercent+EFBAdd,2)-$Q62),MIN(0,SUM($CS62:CW62)+MIN(0,ROUND($R62*EFBPercent+EFBAdd,2)-$Q62))))</f>
        <v>0</v>
      </c>
      <c r="DG62" s="192">
        <f>MAX(-CY62,MIN(0,ROUND($R62*EFBPercent+EFBAdd,2)-$Q62),MIN(0,SUM($CS62:CX62)+MIN(0,ROUND($R62*EFBPercent+EFBAdd,2)-$Q62)))</f>
        <v>0</v>
      </c>
      <c r="DI62" s="73">
        <f t="shared" si="34"/>
        <v>2873266.58</v>
      </c>
      <c r="DJ62" s="73">
        <f t="shared" si="35"/>
        <v>159488.43</v>
      </c>
      <c r="DK62" s="73">
        <f t="shared" si="36"/>
        <v>0</v>
      </c>
      <c r="DL62" s="73">
        <f t="shared" si="37"/>
        <v>0</v>
      </c>
      <c r="DM62" s="73">
        <f t="shared" si="38"/>
        <v>0</v>
      </c>
      <c r="DN62" s="73">
        <f t="shared" si="39"/>
        <v>0</v>
      </c>
      <c r="DO62" s="73">
        <f t="shared" si="40"/>
        <v>0</v>
      </c>
      <c r="DP62" s="73"/>
      <c r="DQ62" s="73"/>
    </row>
    <row r="63" spans="1:121" ht="10.199999999999999" x14ac:dyDescent="0.2">
      <c r="A63" s="4" t="s">
        <v>541</v>
      </c>
      <c r="B63" s="188">
        <v>1018</v>
      </c>
      <c r="C63" s="189" t="s">
        <v>68</v>
      </c>
      <c r="D63" s="4">
        <v>2027</v>
      </c>
      <c r="E63" s="4" t="s">
        <v>384</v>
      </c>
      <c r="F63" s="4">
        <v>1</v>
      </c>
      <c r="G63" s="4" t="s">
        <v>666</v>
      </c>
      <c r="H63" s="4">
        <v>100</v>
      </c>
      <c r="I63" s="4" t="s">
        <v>853</v>
      </c>
      <c r="J63" s="5">
        <v>5318804.4000000004</v>
      </c>
      <c r="K63" s="5">
        <v>551.4</v>
      </c>
      <c r="L63" s="5">
        <v>777.76</v>
      </c>
      <c r="M63" s="5">
        <v>0</v>
      </c>
      <c r="N63" s="5">
        <v>35913087</v>
      </c>
      <c r="O63" s="5">
        <v>34.06</v>
      </c>
      <c r="P63" s="5">
        <v>112.06</v>
      </c>
      <c r="Q63" s="5">
        <v>0</v>
      </c>
      <c r="R63" s="5">
        <v>0</v>
      </c>
      <c r="S63" s="5">
        <v>20480</v>
      </c>
      <c r="T63" s="5">
        <v>306.92</v>
      </c>
      <c r="U63" s="5">
        <v>0</v>
      </c>
      <c r="V63" s="5">
        <v>26727.149999999998</v>
      </c>
      <c r="W63" s="5">
        <v>10162.980000000001</v>
      </c>
      <c r="X63" s="5">
        <v>4550.6000000000004</v>
      </c>
      <c r="Y63" s="5">
        <v>0.72</v>
      </c>
      <c r="Z63" s="5">
        <v>42</v>
      </c>
      <c r="AA63" s="5">
        <v>273</v>
      </c>
      <c r="AB63" s="5">
        <v>79</v>
      </c>
      <c r="AC63" s="5">
        <v>170</v>
      </c>
      <c r="AD63" s="5">
        <v>0</v>
      </c>
      <c r="AE63" s="5">
        <v>3.4699999999999998</v>
      </c>
      <c r="AF63" s="5">
        <v>2.41</v>
      </c>
      <c r="AG63" s="5">
        <v>5.24</v>
      </c>
      <c r="AH63" s="5">
        <v>0.19800000000000001</v>
      </c>
      <c r="AI63" s="5">
        <v>0</v>
      </c>
      <c r="AJ63" s="5">
        <v>0</v>
      </c>
      <c r="AK63" s="5">
        <v>0</v>
      </c>
      <c r="AL63" s="5">
        <v>558</v>
      </c>
      <c r="AM63" s="5">
        <v>1.5099999999999909</v>
      </c>
      <c r="AN63" s="5">
        <v>564</v>
      </c>
      <c r="AO63" s="5">
        <f t="shared" si="41"/>
        <v>0</v>
      </c>
      <c r="AP63" s="5">
        <f t="shared" si="75"/>
        <v>0</v>
      </c>
      <c r="AQ63" s="5">
        <v>1.1299999999999999</v>
      </c>
      <c r="AR63" s="5">
        <v>0.02</v>
      </c>
      <c r="AS63" s="5">
        <v>0</v>
      </c>
      <c r="AT63" s="5">
        <v>115599</v>
      </c>
      <c r="AU63" s="5">
        <v>0</v>
      </c>
      <c r="AV63" s="5">
        <v>3069</v>
      </c>
      <c r="AW63" s="5">
        <v>777.76</v>
      </c>
      <c r="AX63" s="5">
        <v>2</v>
      </c>
      <c r="AY63" s="199">
        <v>0</v>
      </c>
      <c r="AZ63" s="199">
        <v>0</v>
      </c>
      <c r="BA63" s="5">
        <v>538558.85</v>
      </c>
      <c r="BB63" s="13">
        <v>2008269.54</v>
      </c>
      <c r="BC63" s="190">
        <f>MAX(ROUND(IF(F63&lt;4,IF(H63=0,(SUM(Y63:AD63)*Worksheet!$E$26+Y63*Worksheet!$E$27+AR63*Worksheet!$E$39)*-BaseRate,0)),2),MIN(0,-DI63))</f>
        <v>0</v>
      </c>
      <c r="BD63" s="190">
        <f>MAX(ROUND(IF(F63=4,0,IF(I63=0,0,ROUND(SUM(Y63:AD63)*Worksheet!$E$28,2)*-BaseRate)),2),MIN(0,-DI63-BC63))</f>
        <v>-13145.29</v>
      </c>
      <c r="BE63" s="130">
        <f t="shared" si="23"/>
        <v>0</v>
      </c>
      <c r="BF63" s="130">
        <f t="shared" si="24"/>
        <v>1408</v>
      </c>
      <c r="BG63" s="73"/>
      <c r="BH63" s="191">
        <f t="shared" si="25"/>
        <v>56642.57</v>
      </c>
      <c r="BI63" s="191">
        <f t="shared" si="26"/>
        <v>9646</v>
      </c>
      <c r="BJ63" s="232">
        <f>IFERROR(ROUND(IF(AND(BB63*1.12&lt;N63*60/1000,N63/CL63&lt;STVPP*0.2),(CL63*STVPP*0.2*Worksheet!$F$88/1000-BB63*1.12)*PropTaxAdj,IF(BB63*1.12&lt;N63*60/1000,(N63*60/1000-BB63*1.12)*PropTaxAdj,0)),2),0)</f>
        <v>0</v>
      </c>
      <c r="BK63" s="192">
        <f>ROUND(IF($F63=4,0,Y63*Worksheet!$E$16),2)</f>
        <v>0.72</v>
      </c>
      <c r="BL63" s="192">
        <f>ROUND(IF($F63=4,0,Z63*Worksheet!$E$17),2)</f>
        <v>42</v>
      </c>
      <c r="BM63" s="192">
        <f>ROUND(IF($F63=4,0,AA63*Worksheet!$E$18),2)</f>
        <v>273</v>
      </c>
      <c r="BN63" s="192">
        <f>ROUND(IF($F63=4,0,AB63*Worksheet!$E$19),2)</f>
        <v>79</v>
      </c>
      <c r="BO63" s="192">
        <f>ROUND(IF($F63=4,0,AC63*Worksheet!$E$20),2)</f>
        <v>170</v>
      </c>
      <c r="BP63" s="192">
        <f>ROUND(AD63*Worksheet!$E$21,2)</f>
        <v>0</v>
      </c>
      <c r="BQ63" s="192">
        <f t="shared" si="27"/>
        <v>564.72</v>
      </c>
      <c r="BR63" s="192">
        <f>ROUND(AD63*Worksheet!$E$25,2)</f>
        <v>0</v>
      </c>
      <c r="BS63" s="192">
        <f>ROUND(SUM(BQ63)*Worksheet!$E$26,2)</f>
        <v>49.7</v>
      </c>
      <c r="BT63" s="192">
        <f>ROUND(Y63*Worksheet!$E$27,2)</f>
        <v>0.12</v>
      </c>
      <c r="BU63" s="192">
        <f>ROUND(AO63*Worksheet!$E$29,2)</f>
        <v>0</v>
      </c>
      <c r="BV63" s="192">
        <f>ROUND(AP63*Worksheet!$E$30,2)</f>
        <v>0</v>
      </c>
      <c r="BW63" s="192">
        <f>ROUND(IF($I63&lt;&gt;0,$BQ63*Worksheet!$E$28,0),2)</f>
        <v>1.1299999999999999</v>
      </c>
      <c r="BX63" s="192">
        <f>ROUND(AE63*Worksheet!$E$31,2)</f>
        <v>1.39</v>
      </c>
      <c r="BY63" s="192">
        <f>ROUND(AF63*Worksheet!$E$32,2)</f>
        <v>0.67</v>
      </c>
      <c r="BZ63" s="192">
        <f>ROUND(AG63*Worksheet!$E$33,2)</f>
        <v>0.37</v>
      </c>
      <c r="CA63" s="192">
        <f>ROUND(ROUND(AH63*BQ63,2)*Worksheet!$E$34,2)</f>
        <v>2.8</v>
      </c>
      <c r="CB63" s="192">
        <f>ROUND(AI63*Worksheet!$E$35,2)</f>
        <v>0</v>
      </c>
      <c r="CC63" s="192">
        <f>ROUND(AJ63*Worksheet!$E$36,2)</f>
        <v>0</v>
      </c>
      <c r="CD63" s="192">
        <f>ROUND(AQ63*Worksheet!$E$38,2)</f>
        <v>0.68</v>
      </c>
      <c r="CE63" s="192">
        <f>ROUND(AR63*Worksheet!$E$39,2)</f>
        <v>0.02</v>
      </c>
      <c r="CF63" s="192">
        <f>IF(AND(L63&gt;275,SUM(Y63:AD63)&lt;100),ROUND(SUM(Y63:AD63)*Worksheet!$E$41,2),0)</f>
        <v>0</v>
      </c>
      <c r="CG63" s="192">
        <f>IF(AND(L63&gt;600,SUM(Y63:AD63)&lt;50),ROUND((50-SUM(Y63:AD63))*(Worksheet!$E$41+1),2),0)</f>
        <v>0</v>
      </c>
      <c r="CH63" s="192">
        <f t="shared" si="28"/>
        <v>621.59999999999991</v>
      </c>
      <c r="CI63" s="116">
        <f t="shared" si="43"/>
        <v>0</v>
      </c>
      <c r="CJ63" s="116">
        <f t="shared" si="44"/>
        <v>621.59999999999991</v>
      </c>
      <c r="CK63" s="95">
        <f t="shared" si="29"/>
        <v>1.02</v>
      </c>
      <c r="CL63" s="116">
        <f t="shared" si="45"/>
        <v>634.03</v>
      </c>
      <c r="CM63" s="116">
        <f t="shared" si="46"/>
        <v>634.03</v>
      </c>
      <c r="CN63" s="116">
        <f t="shared" si="30"/>
        <v>7375670.9900000002</v>
      </c>
      <c r="CO63" s="131">
        <f>ROUND(IF(F63=4,0,(MAX(ROUND(MAX((BI63*MIN(CL63,K63)*Worksheet!$D$126)+MAX(CL63-K63,0)*Worksheet!$F$50,SUM(J63)),2),SUM(CN63))-SUM(CN63))*MinAdj),2)</f>
        <v>0</v>
      </c>
      <c r="CP63" s="192">
        <f t="shared" si="31"/>
        <v>7375670.9900000002</v>
      </c>
      <c r="CQ63" s="131">
        <f>IF(CL63=0,0,-MIN(CP63,MIN(CP63,ROUND(IF(ROUND(IF(CL63=0,0,N63/CL63),2)&lt;STVPP*0.2,STVPP*0.2*CL63*Worksheet!$F$88/1000,N63*Worksheet!$F$88/1000),2))))</f>
        <v>-2154785.2200000002</v>
      </c>
      <c r="CR63" s="193">
        <f>-MIN(SUM(CP63,CQ63),IF($P63=0,(ROUND(Worksheet!$E$77*S63,2)+ROUND(Worksheet!$E$78*T63,2)+ROUND(Worksheet!$E$79*U63,2)+ROUND(Worksheet!$E$80*V63,2)+ROUND(Worksheet!$E$81*W63,2)+ROUND(Worksheet!$E$82*X63,2)),(ROUND(ROUND(S63*ROUND((1-$O63/$P63),4),2)*Worksheet!$E$77,2)+ROUND(ROUND(T63*ROUND((1-$O63/$P63),4),2)*Worksheet!$E$78,2)+ROUND(ROUND(U63*ROUND((1-$O63/$P63),4),2)*Worksheet!$E$79,2)+ROUND(ROUND(V63*ROUND((1-$O63/$P63),4),2)*Worksheet!$E$80,2)+ROUND(ROUND(W63*ROUND((1-$O63/$P63),4),2)*Worksheet!$E$81,2)+ROUND(ROUND(X63*ROUND((1-$O63/$P63),4),2)*Worksheet!$E$82,2))))</f>
        <v>-32487.51</v>
      </c>
      <c r="CS63" s="192">
        <f t="shared" si="32"/>
        <v>5188398.26</v>
      </c>
      <c r="CT63" s="116">
        <f>ROUND(MIN(BA63,ROUND((ROUND(AS63*Worksheet!$E$104,2)+ROUND(AV63*Worksheet!$E$107,2)+ROUND(AT63*Worksheet!$E$105,2)+ROUND(AW63*Worksheet!$E$108,2)+ROUND(AU63*Worksheet!$E$106,2)+ROUND(AX63*Worksheet!$E$109,2)+ROUND(AY63*Worksheet!$E$110,2)+ROUND(AZ63*Worksheet!$E$111,2))*Worksheet!$D$114,2))*BaseRate,2)</f>
        <v>181242.14</v>
      </c>
      <c r="CU63" s="121">
        <v>0</v>
      </c>
      <c r="CV63" s="121">
        <v>0</v>
      </c>
      <c r="CW63" s="121">
        <v>0</v>
      </c>
      <c r="CX63" s="121">
        <v>0</v>
      </c>
      <c r="CY63" s="121">
        <v>0</v>
      </c>
      <c r="DA63" s="192">
        <f t="shared" si="33"/>
        <v>0</v>
      </c>
      <c r="DB63" s="192">
        <f>MAX(-CT63,MIN(0,ROUND($R63*EFBPercent+EFBAdd,2)-$Q63),MIN(0,SUM($CS63:CS63)+MIN(0,ROUND($R63*EFBPercent+EFBAdd,2)-$Q63)))</f>
        <v>0</v>
      </c>
      <c r="DC63" s="192">
        <f>IF(CU63&lt;0,0,MAX(-CU63,MIN(0,ROUND($R63*EFBPercent+EFBAdd,2)-$Q63),MIN(0,SUM($CS63:CT63)+MIN(0,ROUND($R63*EFBPercent+EFBAdd,2)-$Q63))))</f>
        <v>0</v>
      </c>
      <c r="DD63" s="192">
        <f>IF(CV63&lt;0,0,MAX(-CV63,MIN(0,ROUND($R63*EFBPercent+EFBAdd,2)-$Q63),MIN(0,SUM($CS63:CU63)+MIN(0,ROUND($R63*EFBPercent+EFBAdd,2)-$Q63))))</f>
        <v>0</v>
      </c>
      <c r="DE63" s="192">
        <f>IF(CW63&lt;0,0,MAX(-CW63,MIN(0,ROUND($R63*EFBPercent+EFBAdd,2)-$Q63),MIN(0,SUM($CS63:CV63)+MIN(0,ROUND($R63*EFBPercent+EFBAdd,2)-$Q63))))</f>
        <v>0</v>
      </c>
      <c r="DF63" s="192">
        <f>IF(CX63&lt;0,0,MAX(-CX63,MIN(0,ROUND($R63*EFBPercent+EFBAdd,2)-$Q63),MIN(0,SUM($CS63:CW63)+MIN(0,ROUND($R63*EFBPercent+EFBAdd,2)-$Q63))))</f>
        <v>0</v>
      </c>
      <c r="DG63" s="192">
        <f>MAX(-CY63,MIN(0,ROUND($R63*EFBPercent+EFBAdd,2)-$Q63),MIN(0,SUM($CS63:CX63)+MIN(0,ROUND($R63*EFBPercent+EFBAdd,2)-$Q63)))</f>
        <v>0</v>
      </c>
      <c r="DI63" s="73">
        <f t="shared" si="34"/>
        <v>5188398.26</v>
      </c>
      <c r="DJ63" s="73">
        <f t="shared" si="35"/>
        <v>181242.14</v>
      </c>
      <c r="DK63" s="73">
        <f t="shared" si="36"/>
        <v>0</v>
      </c>
      <c r="DL63" s="73">
        <f t="shared" si="37"/>
        <v>0</v>
      </c>
      <c r="DM63" s="73">
        <f t="shared" si="38"/>
        <v>0</v>
      </c>
      <c r="DN63" s="73">
        <f t="shared" si="39"/>
        <v>0</v>
      </c>
      <c r="DO63" s="73">
        <f t="shared" si="40"/>
        <v>0</v>
      </c>
      <c r="DP63" s="73"/>
      <c r="DQ63" s="73"/>
    </row>
    <row r="64" spans="1:121" ht="10.199999999999999" x14ac:dyDescent="0.2">
      <c r="A64" s="4" t="s">
        <v>542</v>
      </c>
      <c r="B64" s="188">
        <v>1007</v>
      </c>
      <c r="C64" s="189" t="s">
        <v>69</v>
      </c>
      <c r="D64" s="4">
        <v>2027</v>
      </c>
      <c r="E64" s="4" t="s">
        <v>385</v>
      </c>
      <c r="F64" s="4">
        <v>1</v>
      </c>
      <c r="G64" s="4" t="s">
        <v>680</v>
      </c>
      <c r="H64" s="4">
        <v>100</v>
      </c>
      <c r="I64" s="4" t="s">
        <v>1152</v>
      </c>
      <c r="J64" s="5">
        <v>3462528.1600000006</v>
      </c>
      <c r="K64" s="5">
        <v>358.96</v>
      </c>
      <c r="L64" s="5">
        <v>765</v>
      </c>
      <c r="M64" s="5">
        <v>0</v>
      </c>
      <c r="N64" s="5">
        <v>12812052</v>
      </c>
      <c r="O64" s="5">
        <v>0</v>
      </c>
      <c r="P64" s="5">
        <v>70.28</v>
      </c>
      <c r="Q64" s="5">
        <v>0</v>
      </c>
      <c r="R64" s="5">
        <v>0</v>
      </c>
      <c r="S64" s="5">
        <v>163865.08000000002</v>
      </c>
      <c r="T64" s="5">
        <v>361181.92000000004</v>
      </c>
      <c r="U64" s="5">
        <v>0</v>
      </c>
      <c r="V64" s="5">
        <v>30766.43</v>
      </c>
      <c r="W64" s="5">
        <v>1845.8600000000001</v>
      </c>
      <c r="X64" s="5">
        <v>31930.05</v>
      </c>
      <c r="Y64" s="5">
        <v>4.05</v>
      </c>
      <c r="Z64" s="5">
        <v>18</v>
      </c>
      <c r="AA64" s="5">
        <v>113</v>
      </c>
      <c r="AB64" s="5">
        <v>31</v>
      </c>
      <c r="AC64" s="5">
        <v>87</v>
      </c>
      <c r="AD64" s="5">
        <v>0</v>
      </c>
      <c r="AE64" s="5">
        <v>0</v>
      </c>
      <c r="AF64" s="5">
        <v>0</v>
      </c>
      <c r="AG64" s="5">
        <v>0</v>
      </c>
      <c r="AH64" s="5">
        <v>0.38</v>
      </c>
      <c r="AI64" s="5">
        <v>0</v>
      </c>
      <c r="AJ64" s="5">
        <v>0</v>
      </c>
      <c r="AK64" s="5">
        <v>3.8099999999999996</v>
      </c>
      <c r="AL64" s="5">
        <v>242.32</v>
      </c>
      <c r="AM64" s="5">
        <v>0.13999999999998636</v>
      </c>
      <c r="AN64" s="5">
        <v>249</v>
      </c>
      <c r="AO64" s="5">
        <f t="shared" si="41"/>
        <v>0</v>
      </c>
      <c r="AP64" s="5">
        <f t="shared" si="75"/>
        <v>0</v>
      </c>
      <c r="AQ64" s="5">
        <v>0</v>
      </c>
      <c r="AR64" s="5">
        <v>0</v>
      </c>
      <c r="AS64" s="5">
        <v>0</v>
      </c>
      <c r="AT64" s="5">
        <v>64750</v>
      </c>
      <c r="AU64" s="5">
        <v>0</v>
      </c>
      <c r="AV64" s="5">
        <v>1050</v>
      </c>
      <c r="AW64" s="5">
        <v>765</v>
      </c>
      <c r="AX64" s="5">
        <v>2</v>
      </c>
      <c r="AY64" s="199">
        <v>0</v>
      </c>
      <c r="AZ64" s="199">
        <v>0</v>
      </c>
      <c r="BA64" s="5">
        <v>236739.19</v>
      </c>
      <c r="BB64" s="13">
        <v>757833.96</v>
      </c>
      <c r="BC64" s="190">
        <f>MAX(ROUND(IF(F64&lt;4,IF(H64=0,(SUM(Y64:AD64)*Worksheet!$E$26+Y64*Worksheet!$E$27+AR64*Worksheet!$E$39)*-BaseRate,0)),2),MIN(0,-DI64))</f>
        <v>0</v>
      </c>
      <c r="BD64" s="190">
        <f>MAX(ROUND(IF(F64=4,0,IF(I64=0,0,ROUND(SUM(Y64:AD64)*Worksheet!$E$28,2)*-BaseRate)),2),MIN(0,-DI64-BC64))</f>
        <v>-5932.83</v>
      </c>
      <c r="BE64" s="130">
        <f t="shared" si="23"/>
        <v>0</v>
      </c>
      <c r="BF64" s="130">
        <f t="shared" si="24"/>
        <v>1412</v>
      </c>
      <c r="BG64" s="73"/>
      <c r="BH64" s="191">
        <f t="shared" si="25"/>
        <v>38809.11</v>
      </c>
      <c r="BI64" s="191">
        <f t="shared" si="26"/>
        <v>9646</v>
      </c>
      <c r="BJ64" s="232">
        <f>IFERROR(ROUND(IF(AND(BB64*1.12&lt;N64*60/1000,N64/CL64&lt;STVPP*0.2),(CL64*STVPP*0.2*Worksheet!$F$88/1000-BB64*1.12)*PropTaxAdj,IF(BB64*1.12&lt;N64*60/1000,(N64*60/1000-BB64*1.12)*PropTaxAdj,0)),2),0)</f>
        <v>0</v>
      </c>
      <c r="BK64" s="192">
        <f>ROUND(IF($F64=4,0,Y64*Worksheet!$E$16),2)</f>
        <v>4.05</v>
      </c>
      <c r="BL64" s="192">
        <f>ROUND(IF($F64=4,0,Z64*Worksheet!$E$17),2)</f>
        <v>18</v>
      </c>
      <c r="BM64" s="192">
        <f>ROUND(IF($F64=4,0,AA64*Worksheet!$E$18),2)</f>
        <v>113</v>
      </c>
      <c r="BN64" s="192">
        <f>ROUND(IF($F64=4,0,AB64*Worksheet!$E$19),2)</f>
        <v>31</v>
      </c>
      <c r="BO64" s="192">
        <f>ROUND(IF($F64=4,0,AC64*Worksheet!$E$20),2)</f>
        <v>87</v>
      </c>
      <c r="BP64" s="192">
        <f>ROUND(AD64*Worksheet!$E$21,2)</f>
        <v>0</v>
      </c>
      <c r="BQ64" s="192">
        <f t="shared" si="27"/>
        <v>253.05</v>
      </c>
      <c r="BR64" s="192">
        <f>ROUND(AD64*Worksheet!$E$25,2)</f>
        <v>0</v>
      </c>
      <c r="BS64" s="192">
        <f>ROUND(SUM(BQ64)*Worksheet!$E$26,2)</f>
        <v>22.27</v>
      </c>
      <c r="BT64" s="192">
        <f>ROUND(Y64*Worksheet!$E$27,2)</f>
        <v>0.69</v>
      </c>
      <c r="BU64" s="192">
        <f>ROUND(AO64*Worksheet!$E$29,2)</f>
        <v>0</v>
      </c>
      <c r="BV64" s="192">
        <f>ROUND(AP64*Worksheet!$E$30,2)</f>
        <v>0</v>
      </c>
      <c r="BW64" s="192">
        <f>ROUND(IF($I64&lt;&gt;0,$BQ64*Worksheet!$E$28,0),2)</f>
        <v>0.51</v>
      </c>
      <c r="BX64" s="192">
        <f>ROUND(AE64*Worksheet!$E$31,2)</f>
        <v>0</v>
      </c>
      <c r="BY64" s="192">
        <f>ROUND(AF64*Worksheet!$E$32,2)</f>
        <v>0</v>
      </c>
      <c r="BZ64" s="192">
        <f>ROUND(AG64*Worksheet!$E$33,2)</f>
        <v>0</v>
      </c>
      <c r="CA64" s="192">
        <f>ROUND(ROUND(AH64*BQ64,2)*Worksheet!$E$34,2)</f>
        <v>2.4</v>
      </c>
      <c r="CB64" s="192">
        <f>ROUND(AI64*Worksheet!$E$35,2)</f>
        <v>0</v>
      </c>
      <c r="CC64" s="192">
        <f>ROUND(AJ64*Worksheet!$E$36,2)</f>
        <v>0</v>
      </c>
      <c r="CD64" s="192">
        <f>ROUND(AQ64*Worksheet!$E$38,2)</f>
        <v>0</v>
      </c>
      <c r="CE64" s="192">
        <f>ROUND(AR64*Worksheet!$E$39,2)</f>
        <v>0</v>
      </c>
      <c r="CF64" s="192">
        <f>IF(AND(L64&gt;275,SUM(Y64:AD64)&lt;100),ROUND(SUM(Y64:AD64)*Worksheet!$E$41,2),0)</f>
        <v>0</v>
      </c>
      <c r="CG64" s="192">
        <f>IF(AND(L64&gt;600,SUM(Y64:AD64)&lt;50),ROUND((50-SUM(Y64:AD64))*(Worksheet!$E$41+1),2),0)</f>
        <v>0</v>
      </c>
      <c r="CH64" s="192">
        <f t="shared" si="28"/>
        <v>278.91999999999996</v>
      </c>
      <c r="CI64" s="116">
        <f t="shared" si="43"/>
        <v>3.8099999999999996</v>
      </c>
      <c r="CJ64" s="116">
        <f t="shared" si="44"/>
        <v>275.10999999999996</v>
      </c>
      <c r="CK64" s="95">
        <f t="shared" si="29"/>
        <v>1.2</v>
      </c>
      <c r="CL64" s="116">
        <f t="shared" si="45"/>
        <v>330.13</v>
      </c>
      <c r="CM64" s="116">
        <f t="shared" si="46"/>
        <v>333.94</v>
      </c>
      <c r="CN64" s="116">
        <f t="shared" si="30"/>
        <v>3884724.02</v>
      </c>
      <c r="CO64" s="131">
        <f>ROUND(IF(F64=4,0,(MAX(ROUND(MAX((BI64*MIN(CL64,K64)*Worksheet!$D$126)+MAX(CL64-K64,0)*Worksheet!$F$50,SUM(J64)),2),SUM(CN64))-SUM(CN64))*MinAdj),2)</f>
        <v>0</v>
      </c>
      <c r="CP64" s="192">
        <f t="shared" si="31"/>
        <v>3884724.02</v>
      </c>
      <c r="CQ64" s="131">
        <f>IF(CL64=0,0,-MIN(CP64,MIN(CP64,ROUND(IF(ROUND(IF(CL64=0,0,N64/CL64),2)&lt;STVPP*0.2,STVPP*0.2*CL64*Worksheet!$F$88/1000,N64*Worksheet!$F$88/1000),2))))</f>
        <v>-768723.12</v>
      </c>
      <c r="CR64" s="193">
        <f>-MIN(SUM(CP64,CQ64),IF($P64=0,(ROUND(Worksheet!$E$77*S64,2)+ROUND(Worksheet!$E$78*T64,2)+ROUND(Worksheet!$E$79*U64,2)+ROUND(Worksheet!$E$80*V64,2)+ROUND(Worksheet!$E$81*W64,2)+ROUND(Worksheet!$E$82*X64,2)),(ROUND(ROUND(S64*ROUND((1-$O64/$P64),4),2)*Worksheet!$E$77,2)+ROUND(ROUND(T64*ROUND((1-$O64/$P64),4),2)*Worksheet!$E$78,2)+ROUND(ROUND(U64*ROUND((1-$O64/$P64),4),2)*Worksheet!$E$79,2)+ROUND(ROUND(V64*ROUND((1-$O64/$P64),4),2)*Worksheet!$E$80,2)+ROUND(ROUND(W64*ROUND((1-$O64/$P64),4),2)*Worksheet!$E$81,2)+ROUND(ROUND(X64*ROUND((1-$O64/$P64),4),2)*Worksheet!$E$82,2))))</f>
        <v>-442192.01</v>
      </c>
      <c r="CS64" s="192">
        <f t="shared" si="32"/>
        <v>2673808.8899999997</v>
      </c>
      <c r="CT64" s="116">
        <f>ROUND(MIN(BA64,ROUND((ROUND(AS64*Worksheet!$E$104,2)+ROUND(AV64*Worksheet!$E$107,2)+ROUND(AT64*Worksheet!$E$105,2)+ROUND(AW64*Worksheet!$E$108,2)+ROUND(AU64*Worksheet!$E$106,2)+ROUND(AX64*Worksheet!$E$109,2)+ROUND(AY64*Worksheet!$E$110,2)+ROUND(AZ64*Worksheet!$E$111,2))*Worksheet!$D$114,2))*BaseRate,2)</f>
        <v>100509.12</v>
      </c>
      <c r="CU64" s="121">
        <v>0</v>
      </c>
      <c r="CV64" s="121">
        <v>0</v>
      </c>
      <c r="CW64" s="121">
        <v>0</v>
      </c>
      <c r="CX64" s="121">
        <v>0</v>
      </c>
      <c r="CY64" s="121">
        <v>0</v>
      </c>
      <c r="DA64" s="192">
        <f t="shared" si="33"/>
        <v>0</v>
      </c>
      <c r="DB64" s="192">
        <f>MAX(-CT64,MIN(0,ROUND($R64*EFBPercent+EFBAdd,2)-$Q64),MIN(0,SUM($CS64:CS64)+MIN(0,ROUND($R64*EFBPercent+EFBAdd,2)-$Q64)))</f>
        <v>0</v>
      </c>
      <c r="DC64" s="192">
        <f>IF(CU64&lt;0,0,MAX(-CU64,MIN(0,ROUND($R64*EFBPercent+EFBAdd,2)-$Q64),MIN(0,SUM($CS64:CT64)+MIN(0,ROUND($R64*EFBPercent+EFBAdd,2)-$Q64))))</f>
        <v>0</v>
      </c>
      <c r="DD64" s="192">
        <f>IF(CV64&lt;0,0,MAX(-CV64,MIN(0,ROUND($R64*EFBPercent+EFBAdd,2)-$Q64),MIN(0,SUM($CS64:CU64)+MIN(0,ROUND($R64*EFBPercent+EFBAdd,2)-$Q64))))</f>
        <v>0</v>
      </c>
      <c r="DE64" s="192">
        <f>IF(CW64&lt;0,0,MAX(-CW64,MIN(0,ROUND($R64*EFBPercent+EFBAdd,2)-$Q64),MIN(0,SUM($CS64:CV64)+MIN(0,ROUND($R64*EFBPercent+EFBAdd,2)-$Q64))))</f>
        <v>0</v>
      </c>
      <c r="DF64" s="192">
        <f>IF(CX64&lt;0,0,MAX(-CX64,MIN(0,ROUND($R64*EFBPercent+EFBAdd,2)-$Q64),MIN(0,SUM($CS64:CW64)+MIN(0,ROUND($R64*EFBPercent+EFBAdd,2)-$Q64))))</f>
        <v>0</v>
      </c>
      <c r="DG64" s="192">
        <f>MAX(-CY64,MIN(0,ROUND($R64*EFBPercent+EFBAdd,2)-$Q64),MIN(0,SUM($CS64:CX64)+MIN(0,ROUND($R64*EFBPercent+EFBAdd,2)-$Q64)))</f>
        <v>0</v>
      </c>
      <c r="DI64" s="73">
        <f t="shared" si="34"/>
        <v>2673808.8899999997</v>
      </c>
      <c r="DJ64" s="73">
        <f t="shared" si="35"/>
        <v>100509.12</v>
      </c>
      <c r="DK64" s="73">
        <f t="shared" si="36"/>
        <v>0</v>
      </c>
      <c r="DL64" s="73">
        <f t="shared" si="37"/>
        <v>0</v>
      </c>
      <c r="DM64" s="73">
        <f t="shared" si="38"/>
        <v>0</v>
      </c>
      <c r="DN64" s="73">
        <f t="shared" si="39"/>
        <v>0</v>
      </c>
      <c r="DO64" s="73">
        <f t="shared" si="40"/>
        <v>0</v>
      </c>
      <c r="DP64" s="73"/>
      <c r="DQ64" s="73"/>
    </row>
    <row r="65" spans="1:121" ht="10.199999999999999" x14ac:dyDescent="0.2">
      <c r="A65" s="4" t="s">
        <v>543</v>
      </c>
      <c r="B65" s="188">
        <v>1087</v>
      </c>
      <c r="C65" s="189" t="s">
        <v>70</v>
      </c>
      <c r="D65" s="4">
        <v>2027</v>
      </c>
      <c r="E65" s="4" t="s">
        <v>386</v>
      </c>
      <c r="F65" s="4">
        <v>2</v>
      </c>
      <c r="G65" s="4" t="s">
        <v>680</v>
      </c>
      <c r="H65" s="4">
        <v>100</v>
      </c>
      <c r="I65" s="4" t="s">
        <v>1152</v>
      </c>
      <c r="J65" s="5">
        <v>452213.33999999997</v>
      </c>
      <c r="K65" s="5">
        <v>41.59</v>
      </c>
      <c r="L65" s="5">
        <v>243</v>
      </c>
      <c r="M65" s="5">
        <v>0</v>
      </c>
      <c r="N65" s="5">
        <v>3555267</v>
      </c>
      <c r="O65" s="5">
        <v>0</v>
      </c>
      <c r="P65" s="5">
        <v>124.52</v>
      </c>
      <c r="Q65" s="5">
        <v>0</v>
      </c>
      <c r="R65" s="5">
        <v>0</v>
      </c>
      <c r="S65" s="5">
        <v>0</v>
      </c>
      <c r="T65" s="5">
        <v>47566.859999999993</v>
      </c>
      <c r="U65" s="5">
        <v>0</v>
      </c>
      <c r="V65" s="5">
        <v>5725.27</v>
      </c>
      <c r="W65" s="5">
        <v>1560.79</v>
      </c>
      <c r="X65" s="5">
        <v>5405.13</v>
      </c>
      <c r="Y65" s="5">
        <v>2.86</v>
      </c>
      <c r="Z65" s="5">
        <v>6</v>
      </c>
      <c r="AA65" s="5">
        <v>23</v>
      </c>
      <c r="AB65" s="5">
        <v>5</v>
      </c>
      <c r="AC65" s="5">
        <v>0</v>
      </c>
      <c r="AD65" s="5">
        <v>0</v>
      </c>
      <c r="AE65" s="5">
        <v>0</v>
      </c>
      <c r="AF65" s="5">
        <v>0</v>
      </c>
      <c r="AG65" s="5">
        <v>0</v>
      </c>
      <c r="AH65" s="5">
        <v>0.35599999999999998</v>
      </c>
      <c r="AI65" s="5">
        <v>0</v>
      </c>
      <c r="AJ65" s="5">
        <v>0</v>
      </c>
      <c r="AK65" s="5">
        <v>0</v>
      </c>
      <c r="AL65" s="5">
        <v>34.68</v>
      </c>
      <c r="AM65" s="5">
        <v>3.5500000000000007</v>
      </c>
      <c r="AN65" s="5">
        <v>34</v>
      </c>
      <c r="AO65" s="5">
        <f t="shared" si="41"/>
        <v>0.67999999999999972</v>
      </c>
      <c r="AP65" s="5">
        <f t="shared" si="75"/>
        <v>0</v>
      </c>
      <c r="AQ65" s="5">
        <v>0</v>
      </c>
      <c r="AR65" s="5">
        <v>0</v>
      </c>
      <c r="AS65" s="5">
        <v>0</v>
      </c>
      <c r="AT65" s="5">
        <v>38528</v>
      </c>
      <c r="AU65" s="5">
        <v>0</v>
      </c>
      <c r="AV65" s="5">
        <v>688</v>
      </c>
      <c r="AW65" s="5">
        <v>243</v>
      </c>
      <c r="AX65" s="5">
        <v>1</v>
      </c>
      <c r="AY65" s="199">
        <v>11490</v>
      </c>
      <c r="AZ65" s="199">
        <v>46594</v>
      </c>
      <c r="BA65" s="5">
        <v>100519.34</v>
      </c>
      <c r="BB65" s="13">
        <v>205030.98</v>
      </c>
      <c r="BC65" s="190">
        <f>MAX(ROUND(IF(F65&lt;4,IF(H65=0,(SUM(Y65:AD65)*Worksheet!$E$26+Y65*Worksheet!$E$27+AR65*Worksheet!$E$39)*-BaseRate,0)),2),MIN(0,-DI65))</f>
        <v>0</v>
      </c>
      <c r="BD65" s="190">
        <f>MAX(ROUND(IF(F65=4,0,IF(I65=0,0,ROUND(SUM(Y65:AD65)*Worksheet!$E$28,2)*-BaseRate)),2),MIN(0,-DI65-BC65))</f>
        <v>-814.31</v>
      </c>
      <c r="BE65" s="130">
        <f t="shared" si="23"/>
        <v>0</v>
      </c>
      <c r="BF65" s="130">
        <f t="shared" si="24"/>
        <v>1412</v>
      </c>
      <c r="BG65" s="73"/>
      <c r="BH65" s="191">
        <f t="shared" si="25"/>
        <v>51088.76</v>
      </c>
      <c r="BI65" s="191">
        <f t="shared" si="26"/>
        <v>10873.13</v>
      </c>
      <c r="BJ65" s="232">
        <f>IFERROR(ROUND(IF(AND(BB65*1.12&lt;N65*60/1000,N65/CL65&lt;STVPP*0.2),(CL65*STVPP*0.2*Worksheet!$F$88/1000-BB65*1.12)*PropTaxAdj,IF(BB65*1.12&lt;N65*60/1000,(N65*60/1000-BB65*1.12)*PropTaxAdj,0)),2),0)</f>
        <v>0</v>
      </c>
      <c r="BK65" s="192">
        <f>ROUND(IF($F65=4,0,Y65*Worksheet!$E$16),2)</f>
        <v>2.86</v>
      </c>
      <c r="BL65" s="192">
        <f>ROUND(IF($F65=4,0,Z65*Worksheet!$E$17),2)</f>
        <v>6</v>
      </c>
      <c r="BM65" s="192">
        <f>ROUND(IF($F65=4,0,AA65*Worksheet!$E$18),2)</f>
        <v>23</v>
      </c>
      <c r="BN65" s="192">
        <f>ROUND(IF($F65=4,0,AB65*Worksheet!$E$19),2)</f>
        <v>5</v>
      </c>
      <c r="BO65" s="192">
        <f>ROUND(IF($F65=4,0,AC65*Worksheet!$E$20),2)</f>
        <v>0</v>
      </c>
      <c r="BP65" s="192">
        <f>ROUND(AD65*Worksheet!$E$21,2)</f>
        <v>0</v>
      </c>
      <c r="BQ65" s="192">
        <f t="shared" si="27"/>
        <v>36.86</v>
      </c>
      <c r="BR65" s="192">
        <f>ROUND(AD65*Worksheet!$E$25,2)</f>
        <v>0</v>
      </c>
      <c r="BS65" s="192">
        <f>ROUND(SUM(BQ65)*Worksheet!$E$26,2)</f>
        <v>3.24</v>
      </c>
      <c r="BT65" s="192">
        <f>ROUND(Y65*Worksheet!$E$27,2)</f>
        <v>0.49</v>
      </c>
      <c r="BU65" s="192">
        <f>ROUND(AO65*Worksheet!$E$29,2)</f>
        <v>0.68</v>
      </c>
      <c r="BV65" s="192">
        <f>ROUND(AP65*Worksheet!$E$30,2)</f>
        <v>0</v>
      </c>
      <c r="BW65" s="192">
        <f>ROUND(IF($I65&lt;&gt;0,$BQ65*Worksheet!$E$28,0),2)</f>
        <v>7.0000000000000007E-2</v>
      </c>
      <c r="BX65" s="192">
        <f>ROUND(AE65*Worksheet!$E$31,2)</f>
        <v>0</v>
      </c>
      <c r="BY65" s="192">
        <f>ROUND(AF65*Worksheet!$E$32,2)</f>
        <v>0</v>
      </c>
      <c r="BZ65" s="192">
        <f>ROUND(AG65*Worksheet!$E$33,2)</f>
        <v>0</v>
      </c>
      <c r="CA65" s="192">
        <f>ROUND(ROUND(AH65*BQ65,2)*Worksheet!$E$34,2)</f>
        <v>0.33</v>
      </c>
      <c r="CB65" s="192">
        <f>ROUND(AI65*Worksheet!$E$35,2)</f>
        <v>0</v>
      </c>
      <c r="CC65" s="192">
        <f>ROUND(AJ65*Worksheet!$E$36,2)</f>
        <v>0</v>
      </c>
      <c r="CD65" s="192">
        <f>ROUND(AQ65*Worksheet!$E$38,2)</f>
        <v>0</v>
      </c>
      <c r="CE65" s="192">
        <f>ROUND(AR65*Worksheet!$E$39,2)</f>
        <v>0</v>
      </c>
      <c r="CF65" s="192">
        <f>IF(AND(L65&gt;275,SUM(Y65:AD65)&lt;100),ROUND(SUM(Y65:AD65)*Worksheet!$E$41,2),0)</f>
        <v>0</v>
      </c>
      <c r="CG65" s="192">
        <f>IF(AND(L65&gt;600,SUM(Y65:AD65)&lt;50),ROUND((50-SUM(Y65:AD65))*(Worksheet!$E$41+1),2),0)</f>
        <v>0</v>
      </c>
      <c r="CH65" s="192">
        <f t="shared" si="28"/>
        <v>41.67</v>
      </c>
      <c r="CI65" s="116">
        <f t="shared" si="43"/>
        <v>0</v>
      </c>
      <c r="CJ65" s="116">
        <f t="shared" si="44"/>
        <v>41.67</v>
      </c>
      <c r="CK65" s="95">
        <f t="shared" si="29"/>
        <v>1.67</v>
      </c>
      <c r="CL65" s="116">
        <f t="shared" si="45"/>
        <v>69.59</v>
      </c>
      <c r="CM65" s="116">
        <f t="shared" si="46"/>
        <v>69.59</v>
      </c>
      <c r="CN65" s="116">
        <f t="shared" si="30"/>
        <v>809540.47</v>
      </c>
      <c r="CO65" s="131">
        <f>ROUND(IF(F65=4,0,(MAX(ROUND(MAX((BI65*MIN(CL65,K65)*Worksheet!$D$126)+MAX(CL65-K65,0)*Worksheet!$F$50,SUM(J65)),2),SUM(CN65))-SUM(CN65))*MinAdj),2)</f>
        <v>0</v>
      </c>
      <c r="CP65" s="192">
        <f t="shared" si="31"/>
        <v>809540.47</v>
      </c>
      <c r="CQ65" s="131">
        <f>IF(CL65=0,0,-MIN(CP65,MIN(CP65,ROUND(IF(ROUND(IF(CL65=0,0,N65/CL65),2)&lt;STVPP*0.2,STVPP*0.2*CL65*Worksheet!$F$88/1000,N65*Worksheet!$F$88/1000),2))))</f>
        <v>-213316.02</v>
      </c>
      <c r="CR65" s="193">
        <f>-MIN(SUM(CP65,CQ65),IF($P65=0,(ROUND(Worksheet!$E$77*S65,2)+ROUND(Worksheet!$E$78*T65,2)+ROUND(Worksheet!$E$79*U65,2)+ROUND(Worksheet!$E$80*V65,2)+ROUND(Worksheet!$E$81*W65,2)+ROUND(Worksheet!$E$82*X65,2)),(ROUND(ROUND(S65*ROUND((1-$O65/$P65),4),2)*Worksheet!$E$77,2)+ROUND(ROUND(T65*ROUND((1-$O65/$P65),4),2)*Worksheet!$E$78,2)+ROUND(ROUND(U65*ROUND((1-$O65/$P65),4),2)*Worksheet!$E$79,2)+ROUND(ROUND(V65*ROUND((1-$O65/$P65),4),2)*Worksheet!$E$80,2)+ROUND(ROUND(W65*ROUND((1-$O65/$P65),4),2)*Worksheet!$E$81,2)+ROUND(ROUND(X65*ROUND((1-$O65/$P65),4),2)*Worksheet!$E$82,2))))</f>
        <v>-45193.539999999994</v>
      </c>
      <c r="CS65" s="192">
        <f t="shared" si="32"/>
        <v>551030.90999999992</v>
      </c>
      <c r="CT65" s="116">
        <f>ROUND(MIN(BA65,ROUND((ROUND(AS65*Worksheet!$E$104,2)+ROUND(AV65*Worksheet!$E$107,2)+ROUND(AT65*Worksheet!$E$105,2)+ROUND(AW65*Worksheet!$E$108,2)+ROUND(AU65*Worksheet!$E$106,2)+ROUND(AX65*Worksheet!$E$109,2)+ROUND(AY65*Worksheet!$E$110,2)+ROUND(AZ65*Worksheet!$E$111,2))*Worksheet!$D$114,2))*BaseRate,2)</f>
        <v>72706.25</v>
      </c>
      <c r="CU65" s="121">
        <v>0</v>
      </c>
      <c r="CV65" s="121">
        <v>0</v>
      </c>
      <c r="CW65" s="121">
        <v>0</v>
      </c>
      <c r="CX65" s="121">
        <v>0</v>
      </c>
      <c r="CY65" s="121">
        <v>0</v>
      </c>
      <c r="DA65" s="192">
        <f t="shared" si="33"/>
        <v>0</v>
      </c>
      <c r="DB65" s="192">
        <f>MAX(-CT65,MIN(0,ROUND($R65*EFBPercent+EFBAdd,2)-$Q65),MIN(0,SUM($CS65:CS65)+MIN(0,ROUND($R65*EFBPercent+EFBAdd,2)-$Q65)))</f>
        <v>0</v>
      </c>
      <c r="DC65" s="192">
        <f>IF(CU65&lt;0,0,MAX(-CU65,MIN(0,ROUND($R65*EFBPercent+EFBAdd,2)-$Q65),MIN(0,SUM($CS65:CT65)+MIN(0,ROUND($R65*EFBPercent+EFBAdd,2)-$Q65))))</f>
        <v>0</v>
      </c>
      <c r="DD65" s="192">
        <f>IF(CV65&lt;0,0,MAX(-CV65,MIN(0,ROUND($R65*EFBPercent+EFBAdd,2)-$Q65),MIN(0,SUM($CS65:CU65)+MIN(0,ROUND($R65*EFBPercent+EFBAdd,2)-$Q65))))</f>
        <v>0</v>
      </c>
      <c r="DE65" s="192">
        <f>IF(CW65&lt;0,0,MAX(-CW65,MIN(0,ROUND($R65*EFBPercent+EFBAdd,2)-$Q65),MIN(0,SUM($CS65:CV65)+MIN(0,ROUND($R65*EFBPercent+EFBAdd,2)-$Q65))))</f>
        <v>0</v>
      </c>
      <c r="DF65" s="192">
        <f>IF(CX65&lt;0,0,MAX(-CX65,MIN(0,ROUND($R65*EFBPercent+EFBAdd,2)-$Q65),MIN(0,SUM($CS65:CW65)+MIN(0,ROUND($R65*EFBPercent+EFBAdd,2)-$Q65))))</f>
        <v>0</v>
      </c>
      <c r="DG65" s="192">
        <f>MAX(-CY65,MIN(0,ROUND($R65*EFBPercent+EFBAdd,2)-$Q65),MIN(0,SUM($CS65:CX65)+MIN(0,ROUND($R65*EFBPercent+EFBAdd,2)-$Q65)))</f>
        <v>0</v>
      </c>
      <c r="DI65" s="73">
        <f t="shared" si="34"/>
        <v>551030.90999999992</v>
      </c>
      <c r="DJ65" s="73">
        <f t="shared" si="35"/>
        <v>72706.25</v>
      </c>
      <c r="DK65" s="73">
        <f t="shared" si="36"/>
        <v>0</v>
      </c>
      <c r="DL65" s="73">
        <f t="shared" si="37"/>
        <v>0</v>
      </c>
      <c r="DM65" s="73">
        <f t="shared" si="38"/>
        <v>0</v>
      </c>
      <c r="DN65" s="73">
        <f t="shared" si="39"/>
        <v>0</v>
      </c>
      <c r="DO65" s="73">
        <f t="shared" si="40"/>
        <v>0</v>
      </c>
      <c r="DP65" s="73"/>
      <c r="DQ65" s="73"/>
    </row>
    <row r="66" spans="1:121" ht="10.199999999999999" x14ac:dyDescent="0.2">
      <c r="A66" s="4" t="s">
        <v>544</v>
      </c>
      <c r="B66" s="188">
        <v>1055</v>
      </c>
      <c r="C66" s="189" t="s">
        <v>71</v>
      </c>
      <c r="D66" s="4">
        <v>2027</v>
      </c>
      <c r="E66" s="4" t="s">
        <v>387</v>
      </c>
      <c r="F66" s="4">
        <v>1</v>
      </c>
      <c r="G66" s="4" t="s">
        <v>668</v>
      </c>
      <c r="H66" s="4">
        <v>100</v>
      </c>
      <c r="I66" s="4" t="s">
        <v>854</v>
      </c>
      <c r="J66" s="5">
        <v>81796343.719999999</v>
      </c>
      <c r="K66" s="5">
        <v>8479.82</v>
      </c>
      <c r="L66" s="5">
        <v>77.41</v>
      </c>
      <c r="M66" s="5">
        <v>0</v>
      </c>
      <c r="N66" s="5">
        <v>323430900</v>
      </c>
      <c r="O66" s="5">
        <v>20.65</v>
      </c>
      <c r="P66" s="5">
        <v>130.5</v>
      </c>
      <c r="Q66" s="5">
        <v>0</v>
      </c>
      <c r="R66" s="5">
        <v>0</v>
      </c>
      <c r="S66" s="280">
        <v>1671881.3899999997</v>
      </c>
      <c r="T66" s="5">
        <v>0</v>
      </c>
      <c r="U66" s="5">
        <v>0</v>
      </c>
      <c r="V66" s="5">
        <v>80665.929999999993</v>
      </c>
      <c r="W66" s="5">
        <v>97978.75</v>
      </c>
      <c r="X66" s="5">
        <v>219834.41</v>
      </c>
      <c r="Y66" s="5">
        <v>85.64</v>
      </c>
      <c r="Z66" s="5">
        <v>522</v>
      </c>
      <c r="AA66" s="5">
        <v>3531</v>
      </c>
      <c r="AB66" s="5">
        <v>1123</v>
      </c>
      <c r="AC66" s="5">
        <v>2349.5</v>
      </c>
      <c r="AD66" s="5">
        <v>33.5</v>
      </c>
      <c r="AE66" s="5">
        <v>95.830000000000027</v>
      </c>
      <c r="AF66" s="5">
        <v>78.649999999999991</v>
      </c>
      <c r="AG66" s="5">
        <v>127.32</v>
      </c>
      <c r="AH66" s="5">
        <v>0.373</v>
      </c>
      <c r="AI66" s="5">
        <v>2</v>
      </c>
      <c r="AJ66" s="5">
        <v>0</v>
      </c>
      <c r="AK66" s="5">
        <v>0</v>
      </c>
      <c r="AL66" s="5">
        <v>7527.48</v>
      </c>
      <c r="AM66" s="5">
        <v>0</v>
      </c>
      <c r="AN66" s="5">
        <v>7559</v>
      </c>
      <c r="AO66" s="5">
        <f t="shared" si="41"/>
        <v>0</v>
      </c>
      <c r="AP66" s="5">
        <f t="shared" si="75"/>
        <v>0</v>
      </c>
      <c r="AQ66" s="5">
        <v>254.56</v>
      </c>
      <c r="AR66" s="5">
        <v>0.51</v>
      </c>
      <c r="AS66" s="5">
        <v>15916</v>
      </c>
      <c r="AT66" s="5">
        <v>265334</v>
      </c>
      <c r="AU66" s="5">
        <v>346</v>
      </c>
      <c r="AV66" s="5">
        <v>9498</v>
      </c>
      <c r="AW66" s="5">
        <v>77.41</v>
      </c>
      <c r="AX66" s="5">
        <v>17</v>
      </c>
      <c r="AY66" s="199">
        <v>0</v>
      </c>
      <c r="AZ66" s="199">
        <v>0</v>
      </c>
      <c r="BA66" s="5">
        <v>1845981.9</v>
      </c>
      <c r="BB66" s="13">
        <v>18600059.100000001</v>
      </c>
      <c r="BC66" s="190">
        <f>MAX(ROUND(IF(F66&lt;4,IF(H66=0,(SUM(Y66:AD66)*Worksheet!$E$26+Y66*Worksheet!$E$27+AR66*Worksheet!$E$39)*-BaseRate,0)),2),MIN(0,-DI66))</f>
        <v>0</v>
      </c>
      <c r="BD66" s="190">
        <f>MAX(ROUND(IF(F66=4,0,IF(I66=0,0,ROUND(SUM(Y66:AD66)*Worksheet!$E$28,2)*-BaseRate)),2),MIN(0,-DI66-BC66))</f>
        <v>-177868.57</v>
      </c>
      <c r="BE66" s="130">
        <f t="shared" si="23"/>
        <v>0</v>
      </c>
      <c r="BF66" s="130">
        <f t="shared" si="24"/>
        <v>1406</v>
      </c>
      <c r="BG66" s="73"/>
      <c r="BH66" s="191">
        <f t="shared" si="25"/>
        <v>37391.72</v>
      </c>
      <c r="BI66" s="191">
        <f t="shared" si="26"/>
        <v>9646</v>
      </c>
      <c r="BJ66" s="232">
        <f>IFERROR(ROUND(IF(AND(BB66*1.12&lt;N66*60/1000,N66/CL66&lt;STVPP*0.2),(CL66*STVPP*0.2*Worksheet!$F$88/1000-BB66*1.12)*PropTaxAdj,IF(BB66*1.12&lt;N66*60/1000,(N66*60/1000-BB66*1.12)*PropTaxAdj,0)),2),0)</f>
        <v>0</v>
      </c>
      <c r="BK66" s="192">
        <f>ROUND(IF($F66=4,0,Y66*Worksheet!$E$16),2)</f>
        <v>85.64</v>
      </c>
      <c r="BL66" s="192">
        <f>ROUND(IF($F66=4,0,Z66*Worksheet!$E$17),2)</f>
        <v>522</v>
      </c>
      <c r="BM66" s="192">
        <f>ROUND(IF($F66=4,0,AA66*Worksheet!$E$18),2)</f>
        <v>3531</v>
      </c>
      <c r="BN66" s="192">
        <f>ROUND(IF($F66=4,0,AB66*Worksheet!$E$19),2)</f>
        <v>1123</v>
      </c>
      <c r="BO66" s="192">
        <f>ROUND(IF($F66=4,0,AC66*Worksheet!$E$20),2)</f>
        <v>2349.5</v>
      </c>
      <c r="BP66" s="192">
        <f>ROUND(AD66*Worksheet!$E$21,2)</f>
        <v>33.5</v>
      </c>
      <c r="BQ66" s="192">
        <f t="shared" si="27"/>
        <v>7644.64</v>
      </c>
      <c r="BR66" s="192">
        <f>ROUND(AD66*Worksheet!$E$25,2)</f>
        <v>8.3800000000000008</v>
      </c>
      <c r="BS66" s="192">
        <f>ROUND(SUM(BQ66)*Worksheet!$E$26,2)</f>
        <v>672.73</v>
      </c>
      <c r="BT66" s="192">
        <f>ROUND(Y66*Worksheet!$E$27,2)</f>
        <v>14.56</v>
      </c>
      <c r="BU66" s="192">
        <f>ROUND(AO66*Worksheet!$E$29,2)</f>
        <v>0</v>
      </c>
      <c r="BV66" s="192">
        <f>ROUND(AP66*Worksheet!$E$30,2)</f>
        <v>0</v>
      </c>
      <c r="BW66" s="192">
        <f>ROUND(IF($I66&lt;&gt;0,$BQ66*Worksheet!$E$28,0),2)</f>
        <v>15.29</v>
      </c>
      <c r="BX66" s="192">
        <f>ROUND(AE66*Worksheet!$E$31,2)</f>
        <v>38.33</v>
      </c>
      <c r="BY66" s="192">
        <f>ROUND(AF66*Worksheet!$E$32,2)</f>
        <v>22.02</v>
      </c>
      <c r="BZ66" s="192">
        <f>ROUND(AG66*Worksheet!$E$33,2)</f>
        <v>8.91</v>
      </c>
      <c r="CA66" s="192">
        <f>ROUND(ROUND(AH66*BQ66,2)*Worksheet!$E$34,2)</f>
        <v>71.290000000000006</v>
      </c>
      <c r="CB66" s="192">
        <f>ROUND(AI66*Worksheet!$E$35,2)</f>
        <v>0.4</v>
      </c>
      <c r="CC66" s="192">
        <f>ROUND(AJ66*Worksheet!$E$36,2)</f>
        <v>0</v>
      </c>
      <c r="CD66" s="192">
        <f>ROUND(AQ66*Worksheet!$E$38,2)</f>
        <v>152.74</v>
      </c>
      <c r="CE66" s="192">
        <f>ROUND(AR66*Worksheet!$E$39,2)</f>
        <v>0.51</v>
      </c>
      <c r="CF66" s="192">
        <f>IF(AND(L66&gt;275,SUM(Y66:AD66)&lt;100),ROUND(SUM(Y66:AD66)*Worksheet!$E$41,2),0)</f>
        <v>0</v>
      </c>
      <c r="CG66" s="192">
        <f>IF(AND(L66&gt;600,SUM(Y66:AD66)&lt;50),ROUND((50-SUM(Y66:AD66))*(Worksheet!$E$41+1),2),0)</f>
        <v>0</v>
      </c>
      <c r="CH66" s="192">
        <f t="shared" si="28"/>
        <v>8649.8000000000011</v>
      </c>
      <c r="CI66" s="116">
        <f t="shared" si="43"/>
        <v>0</v>
      </c>
      <c r="CJ66" s="116">
        <f t="shared" si="44"/>
        <v>8649.8000000000011</v>
      </c>
      <c r="CK66" s="95">
        <f t="shared" si="29"/>
        <v>1</v>
      </c>
      <c r="CL66" s="116">
        <f t="shared" si="45"/>
        <v>8649.7999999999993</v>
      </c>
      <c r="CM66" s="116">
        <f t="shared" si="46"/>
        <v>8649.7999999999993</v>
      </c>
      <c r="CN66" s="116">
        <f t="shared" si="30"/>
        <v>100623123.40000001</v>
      </c>
      <c r="CO66" s="131">
        <f>ROUND(IF(F66=4,0,(MAX(ROUND(MAX((BI66*MIN(CL66,K66)*Worksheet!$D$126)+MAX(CL66-K66,0)*Worksheet!$F$50,SUM(J66)),2),SUM(CN66))-SUM(CN66))*MinAdj),2)</f>
        <v>0</v>
      </c>
      <c r="CP66" s="192">
        <f t="shared" si="31"/>
        <v>100623123.40000001</v>
      </c>
      <c r="CQ66" s="131">
        <f>IF(CL66=0,0,-MIN(CP66,MIN(CP66,ROUND(IF(ROUND(IF(CL66=0,0,N66/CL66),2)&lt;STVPP*0.2,STVPP*0.2*CL66*Worksheet!$F$88/1000,N66*Worksheet!$F$88/1000),2))))</f>
        <v>-19405854</v>
      </c>
      <c r="CR66" s="193">
        <f>-MIN(SUM(CP66,CQ66),IF($P66=0,(ROUND(Worksheet!$E$77*S66,2)+ROUND(Worksheet!$E$78*T66,2)+ROUND(Worksheet!$E$79*U66,2)+ROUND(Worksheet!$E$80*V66,2)+ROUND(Worksheet!$E$81*W66,2)+ROUND(Worksheet!$E$82*X66,2)),(ROUND(ROUND(S66*ROUND((1-$O66/$P66),4),2)*Worksheet!$E$77,2)+ROUND(ROUND(T66*ROUND((1-$O66/$P66),4),2)*Worksheet!$E$78,2)+ROUND(ROUND(U66*ROUND((1-$O66/$P66),4),2)*Worksheet!$E$79,2)+ROUND(ROUND(V66*ROUND((1-$O66/$P66),4),2)*Worksheet!$E$80,2)+ROUND(ROUND(W66*ROUND((1-$O66/$P66),4),2)*Worksheet!$E$81,2)+ROUND(ROUND(X66*ROUND((1-$O66/$P66),4),2)*Worksheet!$E$82,2))))</f>
        <v>-1307122.0899999999</v>
      </c>
      <c r="CS66" s="192">
        <f t="shared" si="32"/>
        <v>79910147.310000002</v>
      </c>
      <c r="CT66" s="116">
        <f>ROUND(MIN(BA66,ROUND((ROUND(AS66*Worksheet!$E$104,2)+ROUND(AV66*Worksheet!$E$107,2)+ROUND(AT66*Worksheet!$E$105,2)+ROUND(AW66*Worksheet!$E$108,2)+ROUND(AU66*Worksheet!$E$106,2)+ROUND(AX66*Worksheet!$E$109,2)+ROUND(AY66*Worksheet!$E$110,2)+ROUND(AZ66*Worksheet!$E$111,2))*Worksheet!$D$114,2))*BaseRate,2)</f>
        <v>456944.24</v>
      </c>
      <c r="CU66" s="121">
        <v>80521.759999999995</v>
      </c>
      <c r="CV66" s="121">
        <v>0</v>
      </c>
      <c r="CW66" s="121">
        <v>0</v>
      </c>
      <c r="CX66" s="121">
        <v>0</v>
      </c>
      <c r="CY66" s="121">
        <v>0</v>
      </c>
      <c r="DA66" s="192">
        <f t="shared" si="33"/>
        <v>0</v>
      </c>
      <c r="DB66" s="192">
        <f>MAX(-CT66,MIN(0,ROUND($R66*EFBPercent+EFBAdd,2)-$Q66),MIN(0,SUM($CS66:CS66)+MIN(0,ROUND($R66*EFBPercent+EFBAdd,2)-$Q66)))</f>
        <v>0</v>
      </c>
      <c r="DC66" s="192">
        <f>IF(CU66&lt;0,0,MAX(-CU66,MIN(0,ROUND($R66*EFBPercent+EFBAdd,2)-$Q66),MIN(0,SUM($CS66:CT66)+MIN(0,ROUND($R66*EFBPercent+EFBAdd,2)-$Q66))))</f>
        <v>0</v>
      </c>
      <c r="DD66" s="192">
        <f>IF(CV66&lt;0,0,MAX(-CV66,MIN(0,ROUND($R66*EFBPercent+EFBAdd,2)-$Q66),MIN(0,SUM($CS66:CU66)+MIN(0,ROUND($R66*EFBPercent+EFBAdd,2)-$Q66))))</f>
        <v>0</v>
      </c>
      <c r="DE66" s="192">
        <f>IF(CW66&lt;0,0,MAX(-CW66,MIN(0,ROUND($R66*EFBPercent+EFBAdd,2)-$Q66),MIN(0,SUM($CS66:CV66)+MIN(0,ROUND($R66*EFBPercent+EFBAdd,2)-$Q66))))</f>
        <v>0</v>
      </c>
      <c r="DF66" s="192">
        <f>IF(CX66&lt;0,0,MAX(-CX66,MIN(0,ROUND($R66*EFBPercent+EFBAdd,2)-$Q66),MIN(0,SUM($CS66:CW66)+MIN(0,ROUND($R66*EFBPercent+EFBAdd,2)-$Q66))))</f>
        <v>0</v>
      </c>
      <c r="DG66" s="192">
        <f>MAX(-CY66,MIN(0,ROUND($R66*EFBPercent+EFBAdd,2)-$Q66),MIN(0,SUM($CS66:CX66)+MIN(0,ROUND($R66*EFBPercent+EFBAdd,2)-$Q66)))</f>
        <v>0</v>
      </c>
      <c r="DI66" s="73">
        <f t="shared" si="34"/>
        <v>79910147.310000002</v>
      </c>
      <c r="DJ66" s="73">
        <f t="shared" si="35"/>
        <v>456944.24</v>
      </c>
      <c r="DK66" s="73">
        <f t="shared" si="36"/>
        <v>80521.759999999995</v>
      </c>
      <c r="DL66" s="73">
        <f t="shared" si="37"/>
        <v>0</v>
      </c>
      <c r="DM66" s="73">
        <f t="shared" si="38"/>
        <v>0</v>
      </c>
      <c r="DN66" s="73">
        <f t="shared" si="39"/>
        <v>0</v>
      </c>
      <c r="DO66" s="73">
        <f t="shared" si="40"/>
        <v>0</v>
      </c>
      <c r="DP66" s="73"/>
      <c r="DQ66" s="73"/>
    </row>
    <row r="67" spans="1:121" ht="10.199999999999999" x14ac:dyDescent="0.2">
      <c r="A67" s="4" t="s">
        <v>545</v>
      </c>
      <c r="B67" s="188">
        <v>1079</v>
      </c>
      <c r="C67" s="189" t="s">
        <v>72</v>
      </c>
      <c r="D67" s="4">
        <v>2027</v>
      </c>
      <c r="E67" s="4" t="s">
        <v>388</v>
      </c>
      <c r="F67" s="4">
        <v>1</v>
      </c>
      <c r="G67" s="4" t="s">
        <v>683</v>
      </c>
      <c r="H67" s="4">
        <v>100</v>
      </c>
      <c r="I67" s="4" t="s">
        <v>854</v>
      </c>
      <c r="J67" s="5">
        <v>4169483.5</v>
      </c>
      <c r="K67" s="5">
        <v>432.25</v>
      </c>
      <c r="L67" s="5">
        <v>329.5</v>
      </c>
      <c r="M67" s="5">
        <v>0</v>
      </c>
      <c r="N67" s="5">
        <v>20101014</v>
      </c>
      <c r="O67" s="5">
        <v>10</v>
      </c>
      <c r="P67" s="5">
        <v>106.46</v>
      </c>
      <c r="Q67" s="5">
        <v>0</v>
      </c>
      <c r="R67" s="5">
        <v>0</v>
      </c>
      <c r="S67" s="5">
        <v>36366.1</v>
      </c>
      <c r="T67" s="5">
        <v>0</v>
      </c>
      <c r="U67" s="5">
        <v>0</v>
      </c>
      <c r="V67" s="5">
        <v>27277.11</v>
      </c>
      <c r="W67" s="5">
        <v>5676.0999999999995</v>
      </c>
      <c r="X67" s="5">
        <v>28393.040000000001</v>
      </c>
      <c r="Y67" s="5">
        <v>2.37</v>
      </c>
      <c r="Z67" s="5">
        <v>19</v>
      </c>
      <c r="AA67" s="5">
        <v>157</v>
      </c>
      <c r="AB67" s="5">
        <v>72</v>
      </c>
      <c r="AC67" s="5">
        <v>143</v>
      </c>
      <c r="AD67" s="5">
        <v>0</v>
      </c>
      <c r="AE67" s="5">
        <v>0</v>
      </c>
      <c r="AF67" s="5">
        <v>0</v>
      </c>
      <c r="AG67" s="5">
        <v>1</v>
      </c>
      <c r="AH67" s="5">
        <v>0.28000000000000003</v>
      </c>
      <c r="AI67" s="5">
        <v>0</v>
      </c>
      <c r="AJ67" s="5">
        <v>0</v>
      </c>
      <c r="AK67" s="5">
        <v>0</v>
      </c>
      <c r="AL67" s="5">
        <v>389.84999999999997</v>
      </c>
      <c r="AM67" s="5">
        <v>0</v>
      </c>
      <c r="AN67" s="5">
        <v>391</v>
      </c>
      <c r="AO67" s="5">
        <f t="shared" si="41"/>
        <v>0</v>
      </c>
      <c r="AP67" s="5">
        <f t="shared" si="75"/>
        <v>0</v>
      </c>
      <c r="AQ67" s="5">
        <v>10.56</v>
      </c>
      <c r="AR67" s="5">
        <v>0</v>
      </c>
      <c r="AS67" s="5">
        <v>0</v>
      </c>
      <c r="AT67" s="5">
        <v>116838</v>
      </c>
      <c r="AU67" s="5">
        <v>0</v>
      </c>
      <c r="AV67" s="5">
        <v>3800</v>
      </c>
      <c r="AW67" s="199">
        <v>329.5</v>
      </c>
      <c r="AX67" s="199">
        <v>2</v>
      </c>
      <c r="AY67" s="199">
        <v>0</v>
      </c>
      <c r="AZ67" s="199">
        <v>0</v>
      </c>
      <c r="BA67" s="5">
        <v>343273.1</v>
      </c>
      <c r="BB67" s="13">
        <v>1165459.2</v>
      </c>
      <c r="BC67" s="190">
        <f>MAX(ROUND(IF(F67&lt;4,IF(H67=0,(SUM(Y67:AD67)*Worksheet!$E$26+Y67*Worksheet!$E$27+AR67*Worksheet!$E$39)*-BaseRate,0)),2),MIN(0,-DI67))</f>
        <v>0</v>
      </c>
      <c r="BD67" s="190">
        <f>MAX(ROUND(IF(F67=4,0,IF(I67=0,0,ROUND(SUM(Y67:AD67)*Worksheet!$E$28,2)*-BaseRate)),2),MIN(0,-DI67-BC67))</f>
        <v>-9190.07</v>
      </c>
      <c r="BE67" s="130">
        <f t="shared" si="23"/>
        <v>0</v>
      </c>
      <c r="BF67" s="130">
        <f t="shared" si="24"/>
        <v>1406</v>
      </c>
      <c r="BG67" s="73"/>
      <c r="BH67" s="191">
        <f t="shared" si="25"/>
        <v>44474.22</v>
      </c>
      <c r="BI67" s="191">
        <f t="shared" si="26"/>
        <v>9646</v>
      </c>
      <c r="BJ67" s="232">
        <f>IFERROR(ROUND(IF(AND(BB67*1.12&lt;N67*60/1000,N67/CL67&lt;STVPP*0.2),(CL67*STVPP*0.2*Worksheet!$F$88/1000-BB67*1.12)*PropTaxAdj,IF(BB67*1.12&lt;N67*60/1000,(N67*60/1000-BB67*1.12)*PropTaxAdj,0)),2),0)</f>
        <v>0</v>
      </c>
      <c r="BK67" s="192">
        <f>ROUND(IF($F67=4,0,Y67*Worksheet!$E$16),2)</f>
        <v>2.37</v>
      </c>
      <c r="BL67" s="192">
        <f>ROUND(IF($F67=4,0,Z67*Worksheet!$E$17),2)</f>
        <v>19</v>
      </c>
      <c r="BM67" s="192">
        <f>ROUND(IF($F67=4,0,AA67*Worksheet!$E$18),2)</f>
        <v>157</v>
      </c>
      <c r="BN67" s="192">
        <f>ROUND(IF($F67=4,0,AB67*Worksheet!$E$19),2)</f>
        <v>72</v>
      </c>
      <c r="BO67" s="192">
        <f>ROUND(IF($F67=4,0,AC67*Worksheet!$E$20),2)</f>
        <v>143</v>
      </c>
      <c r="BP67" s="192">
        <f>ROUND(AD67*Worksheet!$E$21,2)</f>
        <v>0</v>
      </c>
      <c r="BQ67" s="192">
        <f t="shared" ref="BQ67:BQ129" si="76">SUM(BK67:BP67)</f>
        <v>393.37</v>
      </c>
      <c r="BR67" s="192">
        <f>ROUND(AD67*Worksheet!$E$25,2)</f>
        <v>0</v>
      </c>
      <c r="BS67" s="192">
        <f>ROUND(SUM(BQ67)*Worksheet!$E$26,2)</f>
        <v>34.619999999999997</v>
      </c>
      <c r="BT67" s="192">
        <f>ROUND(Y67*Worksheet!$E$27,2)</f>
        <v>0.4</v>
      </c>
      <c r="BU67" s="192">
        <f>ROUND(AO67*Worksheet!$E$29,2)</f>
        <v>0</v>
      </c>
      <c r="BV67" s="192">
        <f>ROUND(AP67*Worksheet!$E$30,2)</f>
        <v>0</v>
      </c>
      <c r="BW67" s="192">
        <f>ROUND(IF($I67&lt;&gt;0,$BQ67*Worksheet!$E$28,0),2)</f>
        <v>0.79</v>
      </c>
      <c r="BX67" s="192">
        <f>ROUND(AE67*Worksheet!$E$31,2)</f>
        <v>0</v>
      </c>
      <c r="BY67" s="192">
        <f>ROUND(AF67*Worksheet!$E$32,2)</f>
        <v>0</v>
      </c>
      <c r="BZ67" s="192">
        <f>ROUND(AG67*Worksheet!$E$33,2)</f>
        <v>7.0000000000000007E-2</v>
      </c>
      <c r="CA67" s="192">
        <f>ROUND(ROUND(AH67*BQ67,2)*Worksheet!$E$34,2)</f>
        <v>2.75</v>
      </c>
      <c r="CB67" s="192">
        <f>ROUND(AI67*Worksheet!$E$35,2)</f>
        <v>0</v>
      </c>
      <c r="CC67" s="192">
        <f>ROUND(AJ67*Worksheet!$E$36,2)</f>
        <v>0</v>
      </c>
      <c r="CD67" s="192">
        <f>ROUND(AQ67*Worksheet!$E$38,2)</f>
        <v>6.34</v>
      </c>
      <c r="CE67" s="192">
        <f>ROUND(AR67*Worksheet!$E$39,2)</f>
        <v>0</v>
      </c>
      <c r="CF67" s="192">
        <f>IF(AND(L67&gt;275,SUM(Y67:AD67)&lt;100),ROUND(SUM(Y67:AD67)*Worksheet!$E$41,2),0)</f>
        <v>0</v>
      </c>
      <c r="CG67" s="192">
        <f>IF(AND(L67&gt;600,SUM(Y67:AD67)&lt;50),ROUND((50-SUM(Y67:AD67))*(Worksheet!$E$41+1),2),0)</f>
        <v>0</v>
      </c>
      <c r="CH67" s="192">
        <f t="shared" ref="CH67:CH129" si="77">SUM(BQ67:CG67)</f>
        <v>438.34</v>
      </c>
      <c r="CI67" s="116">
        <f t="shared" si="43"/>
        <v>0</v>
      </c>
      <c r="CJ67" s="116">
        <f t="shared" si="44"/>
        <v>438.34</v>
      </c>
      <c r="CK67" s="95">
        <f t="shared" si="29"/>
        <v>1.0310999999999999</v>
      </c>
      <c r="CL67" s="116">
        <f t="shared" si="45"/>
        <v>451.97</v>
      </c>
      <c r="CM67" s="116">
        <f t="shared" si="46"/>
        <v>451.97</v>
      </c>
      <c r="CN67" s="116">
        <f t="shared" si="30"/>
        <v>5257767.01</v>
      </c>
      <c r="CO67" s="131">
        <f>ROUND(IF(F67=4,0,(MAX(ROUND(MAX((BI67*MIN(CL67,K67)*Worksheet!$D$126)+MAX(CL67-K67,0)*Worksheet!$F$50,SUM(J67)),2),SUM(CN67))-SUM(CN67))*MinAdj),2)</f>
        <v>0</v>
      </c>
      <c r="CP67" s="192">
        <f t="shared" si="31"/>
        <v>5257767.01</v>
      </c>
      <c r="CQ67" s="131">
        <f>IF(CL67=0,0,-MIN(CP67,MIN(CP67,ROUND(IF(ROUND(IF(CL67=0,0,N67/CL67),2)&lt;STVPP*0.2,STVPP*0.2*CL67*Worksheet!$F$88/1000,N67*Worksheet!$F$88/1000),2))))</f>
        <v>-1206060.8400000001</v>
      </c>
      <c r="CR67" s="193">
        <f>-MIN(SUM(CP67,CQ67),IF($P67=0,(ROUND(Worksheet!$E$77*S67,2)+ROUND(Worksheet!$E$78*T67,2)+ROUND(Worksheet!$E$79*U67,2)+ROUND(Worksheet!$E$80*V67,2)+ROUND(Worksheet!$E$81*W67,2)+ROUND(Worksheet!$E$82*X67,2)),(ROUND(ROUND(S67*ROUND((1-$O67/$P67),4),2)*Worksheet!$E$77,2)+ROUND(ROUND(T67*ROUND((1-$O67/$P67),4),2)*Worksheet!$E$78,2)+ROUND(ROUND(U67*ROUND((1-$O67/$P67),4),2)*Worksheet!$E$79,2)+ROUND(ROUND(V67*ROUND((1-$O67/$P67),4),2)*Worksheet!$E$80,2)+ROUND(ROUND(W67*ROUND((1-$O67/$P67),4),2)*Worksheet!$E$81,2)+ROUND(ROUND(X67*ROUND((1-$O67/$P67),4),2)*Worksheet!$E$82,2))))</f>
        <v>-66402.86</v>
      </c>
      <c r="CS67" s="192">
        <f t="shared" ref="CS67:CS129" si="78">SUM(CP67:CR67)</f>
        <v>3985303.31</v>
      </c>
      <c r="CT67" s="116">
        <f>ROUND(MIN(BA67,ROUND((ROUND(AS67*Worksheet!$E$104,2)+ROUND(AV67*Worksheet!$E$107,2)+ROUND(AT67*Worksheet!$E$105,2)+ROUND(AW67*Worksheet!$E$108,2)+ROUND(AU67*Worksheet!$E$106,2)+ROUND(AX67*Worksheet!$E$109,2)+ROUND(AY67*Worksheet!$E$110,2)+ROUND(AZ67*Worksheet!$E$111,2))*Worksheet!$D$114,2))*BaseRate,2)</f>
        <v>184732.04</v>
      </c>
      <c r="CU67" s="121">
        <v>0</v>
      </c>
      <c r="CV67" s="121">
        <v>0</v>
      </c>
      <c r="CW67" s="121">
        <v>0</v>
      </c>
      <c r="CX67" s="121">
        <v>0</v>
      </c>
      <c r="CY67" s="121">
        <v>0</v>
      </c>
      <c r="DA67" s="192">
        <f t="shared" ref="DA67:DA129" si="79">MAX(-CS67,MIN(0,ROUND($R67*EFBPercent+EFBAdd,2)-$Q67))</f>
        <v>0</v>
      </c>
      <c r="DB67" s="192">
        <f>MAX(-CT67,MIN(0,ROUND($R67*EFBPercent+EFBAdd,2)-$Q67),MIN(0,SUM($CS67:CS67)+MIN(0,ROUND($R67*EFBPercent+EFBAdd,2)-$Q67)))</f>
        <v>0</v>
      </c>
      <c r="DC67" s="192">
        <f>IF(CU67&lt;0,0,MAX(-CU67,MIN(0,ROUND($R67*EFBPercent+EFBAdd,2)-$Q67),MIN(0,SUM($CS67:CT67)+MIN(0,ROUND($R67*EFBPercent+EFBAdd,2)-$Q67))))</f>
        <v>0</v>
      </c>
      <c r="DD67" s="192">
        <f>IF(CV67&lt;0,0,MAX(-CV67,MIN(0,ROUND($R67*EFBPercent+EFBAdd,2)-$Q67),MIN(0,SUM($CS67:CU67)+MIN(0,ROUND($R67*EFBPercent+EFBAdd,2)-$Q67))))</f>
        <v>0</v>
      </c>
      <c r="DE67" s="192">
        <f>IF(CW67&lt;0,0,MAX(-CW67,MIN(0,ROUND($R67*EFBPercent+EFBAdd,2)-$Q67),MIN(0,SUM($CS67:CV67)+MIN(0,ROUND($R67*EFBPercent+EFBAdd,2)-$Q67))))</f>
        <v>0</v>
      </c>
      <c r="DF67" s="192">
        <f>IF(CX67&lt;0,0,MAX(-CX67,MIN(0,ROUND($R67*EFBPercent+EFBAdd,2)-$Q67),MIN(0,SUM($CS67:CW67)+MIN(0,ROUND($R67*EFBPercent+EFBAdd,2)-$Q67))))</f>
        <v>0</v>
      </c>
      <c r="DG67" s="192">
        <f>MAX(-CY67,MIN(0,ROUND($R67*EFBPercent+EFBAdd,2)-$Q67),MIN(0,SUM($CS67:CX67)+MIN(0,ROUND($R67*EFBPercent+EFBAdd,2)-$Q67)))</f>
        <v>0</v>
      </c>
      <c r="DI67" s="73">
        <f t="shared" ref="DI67:DI129" si="80">+CS67+DA67</f>
        <v>3985303.31</v>
      </c>
      <c r="DJ67" s="73">
        <f t="shared" ref="DJ67:DJ129" si="81">+CT67+DB67</f>
        <v>184732.04</v>
      </c>
      <c r="DK67" s="73">
        <f t="shared" ref="DK67:DK129" si="82">+CU67+DC67</f>
        <v>0</v>
      </c>
      <c r="DL67" s="73">
        <f t="shared" ref="DL67:DL129" si="83">+CV67+DD67</f>
        <v>0</v>
      </c>
      <c r="DM67" s="73">
        <f t="shared" ref="DM67:DM129" si="84">+CW67+DE67</f>
        <v>0</v>
      </c>
      <c r="DN67" s="73">
        <f t="shared" ref="DN67:DN129" si="85">+CX67+DF67</f>
        <v>0</v>
      </c>
      <c r="DO67" s="73">
        <f t="shared" ref="DO67:DO129" si="86">+CY67+DG67</f>
        <v>0</v>
      </c>
      <c r="DP67" s="73"/>
      <c r="DQ67" s="73"/>
    </row>
    <row r="68" spans="1:121" ht="10.199999999999999" x14ac:dyDescent="0.2">
      <c r="A68" s="4" t="s">
        <v>546</v>
      </c>
      <c r="B68" s="188">
        <v>1156</v>
      </c>
      <c r="C68" s="189" t="s">
        <v>73</v>
      </c>
      <c r="D68" s="4">
        <v>2027</v>
      </c>
      <c r="E68" s="4" t="s">
        <v>389</v>
      </c>
      <c r="F68" s="4">
        <v>1</v>
      </c>
      <c r="G68" s="4" t="s">
        <v>668</v>
      </c>
      <c r="H68" s="4">
        <v>100</v>
      </c>
      <c r="I68" s="4" t="s">
        <v>854</v>
      </c>
      <c r="J68" s="5">
        <v>5574423.4000000013</v>
      </c>
      <c r="K68" s="5">
        <v>577.9</v>
      </c>
      <c r="L68" s="5">
        <v>117.38</v>
      </c>
      <c r="M68" s="5">
        <v>0</v>
      </c>
      <c r="N68" s="5">
        <v>19713381</v>
      </c>
      <c r="O68" s="5">
        <v>0</v>
      </c>
      <c r="P68" s="5">
        <v>88.710000000000008</v>
      </c>
      <c r="Q68" s="5">
        <v>0</v>
      </c>
      <c r="R68" s="5">
        <v>0</v>
      </c>
      <c r="S68" s="5">
        <v>122013.36</v>
      </c>
      <c r="T68" s="5">
        <v>0</v>
      </c>
      <c r="U68" s="5">
        <v>0</v>
      </c>
      <c r="V68" s="5">
        <v>121782.19</v>
      </c>
      <c r="W68" s="5">
        <v>303.08</v>
      </c>
      <c r="X68" s="5">
        <v>18653.240000000002</v>
      </c>
      <c r="Y68" s="5">
        <v>0.03</v>
      </c>
      <c r="Z68" s="5">
        <v>48</v>
      </c>
      <c r="AA68" s="5">
        <v>361</v>
      </c>
      <c r="AB68" s="5">
        <v>106</v>
      </c>
      <c r="AC68" s="5">
        <v>188</v>
      </c>
      <c r="AD68" s="5">
        <v>0</v>
      </c>
      <c r="AE68" s="5">
        <v>0</v>
      </c>
      <c r="AF68" s="5">
        <v>0</v>
      </c>
      <c r="AG68" s="5">
        <v>0</v>
      </c>
      <c r="AH68" s="5">
        <v>7.4999999999999997E-2</v>
      </c>
      <c r="AI68" s="5">
        <v>0</v>
      </c>
      <c r="AJ68" s="5">
        <v>0</v>
      </c>
      <c r="AK68" s="5">
        <v>0</v>
      </c>
      <c r="AL68" s="5">
        <v>699.65</v>
      </c>
      <c r="AM68" s="5">
        <v>20.580000000000041</v>
      </c>
      <c r="AN68" s="5">
        <v>703</v>
      </c>
      <c r="AO68" s="5">
        <f t="shared" si="41"/>
        <v>0</v>
      </c>
      <c r="AP68" s="5">
        <f t="shared" si="75"/>
        <v>0</v>
      </c>
      <c r="AQ68" s="5">
        <v>0</v>
      </c>
      <c r="AR68" s="5">
        <v>0</v>
      </c>
      <c r="AS68" s="5">
        <v>0</v>
      </c>
      <c r="AT68" s="5">
        <v>62586</v>
      </c>
      <c r="AU68" s="5">
        <v>0</v>
      </c>
      <c r="AV68" s="5">
        <v>1368</v>
      </c>
      <c r="AW68" s="199">
        <v>117.38</v>
      </c>
      <c r="AX68" s="199">
        <v>1</v>
      </c>
      <c r="AY68" s="199">
        <v>5512.5</v>
      </c>
      <c r="AZ68" s="199">
        <v>0</v>
      </c>
      <c r="BA68" s="5">
        <v>240695.01</v>
      </c>
      <c r="BB68" s="13">
        <v>1131071.52</v>
      </c>
      <c r="BC68" s="190">
        <f>MAX(ROUND(IF(F68&lt;4,IF(H68=0,(SUM(Y68:AD68)*Worksheet!$E$26+Y68*Worksheet!$E$27+AR68*Worksheet!$E$39)*-BaseRate,0)),2),MIN(0,-DI68))</f>
        <v>0</v>
      </c>
      <c r="BD68" s="190">
        <f>MAX(ROUND(IF(F68=4,0,IF(I68=0,0,ROUND(SUM(Y68:AD68)*Worksheet!$E$28,2)*-BaseRate)),2),MIN(0,-DI68-BC68))</f>
        <v>-16402.53</v>
      </c>
      <c r="BE68" s="130">
        <f t="shared" si="23"/>
        <v>0</v>
      </c>
      <c r="BF68" s="130">
        <f t="shared" si="24"/>
        <v>1406</v>
      </c>
      <c r="BG68" s="73"/>
      <c r="BH68" s="191">
        <f t="shared" si="25"/>
        <v>25426.12</v>
      </c>
      <c r="BI68" s="191">
        <f t="shared" si="26"/>
        <v>9646</v>
      </c>
      <c r="BJ68" s="232">
        <f>IFERROR(ROUND(IF(AND(BB68*1.12&lt;N68*60/1000,N68/CL68&lt;STVPP*0.2),(CL68*STVPP*0.2*Worksheet!$F$88/1000-BB68*1.12)*PropTaxAdj,IF(BB68*1.12&lt;N68*60/1000,(N68*60/1000-BB68*1.12)*PropTaxAdj,0)),2),0)</f>
        <v>0</v>
      </c>
      <c r="BK68" s="192">
        <f>ROUND(IF($F68=4,0,Y68*Worksheet!$E$16),2)</f>
        <v>0.03</v>
      </c>
      <c r="BL68" s="192">
        <f>ROUND(IF($F68=4,0,Z68*Worksheet!$E$17),2)</f>
        <v>48</v>
      </c>
      <c r="BM68" s="192">
        <f>ROUND(IF($F68=4,0,AA68*Worksheet!$E$18),2)</f>
        <v>361</v>
      </c>
      <c r="BN68" s="192">
        <f>ROUND(IF($F68=4,0,AB68*Worksheet!$E$19),2)</f>
        <v>106</v>
      </c>
      <c r="BO68" s="192">
        <f>ROUND(IF($F68=4,0,AC68*Worksheet!$E$20),2)</f>
        <v>188</v>
      </c>
      <c r="BP68" s="192">
        <f>ROUND(AD68*Worksheet!$E$21,2)</f>
        <v>0</v>
      </c>
      <c r="BQ68" s="192">
        <f t="shared" si="76"/>
        <v>703.03</v>
      </c>
      <c r="BR68" s="192">
        <f>ROUND(AD68*Worksheet!$E$25,2)</f>
        <v>0</v>
      </c>
      <c r="BS68" s="192">
        <f>ROUND(SUM(BQ68)*Worksheet!$E$26,2)</f>
        <v>61.87</v>
      </c>
      <c r="BT68" s="192">
        <f>ROUND(Y68*Worksheet!$E$27,2)</f>
        <v>0.01</v>
      </c>
      <c r="BU68" s="192">
        <f>ROUND(AO68*Worksheet!$E$29,2)</f>
        <v>0</v>
      </c>
      <c r="BV68" s="192">
        <f>ROUND(AP68*Worksheet!$E$30,2)</f>
        <v>0</v>
      </c>
      <c r="BW68" s="192">
        <f>ROUND(IF($I68&lt;&gt;0,$BQ68*Worksheet!$E$28,0),2)</f>
        <v>1.41</v>
      </c>
      <c r="BX68" s="192">
        <f>ROUND(AE68*Worksheet!$E$31,2)</f>
        <v>0</v>
      </c>
      <c r="BY68" s="192">
        <f>ROUND(AF68*Worksheet!$E$32,2)</f>
        <v>0</v>
      </c>
      <c r="BZ68" s="192">
        <f>ROUND(AG68*Worksheet!$E$33,2)</f>
        <v>0</v>
      </c>
      <c r="CA68" s="192">
        <f>ROUND(ROUND(AH68*BQ68,2)*Worksheet!$E$34,2)</f>
        <v>1.32</v>
      </c>
      <c r="CB68" s="192">
        <f>ROUND(AI68*Worksheet!$E$35,2)</f>
        <v>0</v>
      </c>
      <c r="CC68" s="192">
        <f>ROUND(AJ68*Worksheet!$E$36,2)</f>
        <v>0</v>
      </c>
      <c r="CD68" s="192">
        <f>ROUND(AQ68*Worksheet!$E$38,2)</f>
        <v>0</v>
      </c>
      <c r="CE68" s="192">
        <f>ROUND(AR68*Worksheet!$E$39,2)</f>
        <v>0</v>
      </c>
      <c r="CF68" s="192">
        <f>IF(AND(L68&gt;275,SUM(Y68:AD68)&lt;100),ROUND(SUM(Y68:AD68)*Worksheet!$E$41,2),0)</f>
        <v>0</v>
      </c>
      <c r="CG68" s="192">
        <f>IF(AND(L68&gt;600,SUM(Y68:AD68)&lt;50),ROUND((50-SUM(Y68:AD68))*(Worksheet!$E$41+1),2),0)</f>
        <v>0</v>
      </c>
      <c r="CH68" s="192">
        <f t="shared" si="77"/>
        <v>767.64</v>
      </c>
      <c r="CI68" s="116">
        <f t="shared" si="43"/>
        <v>0</v>
      </c>
      <c r="CJ68" s="116">
        <f t="shared" si="44"/>
        <v>767.64</v>
      </c>
      <c r="CK68" s="95">
        <f t="shared" si="29"/>
        <v>1.01</v>
      </c>
      <c r="CL68" s="116">
        <f t="shared" si="45"/>
        <v>775.32</v>
      </c>
      <c r="CM68" s="116">
        <f t="shared" si="46"/>
        <v>775.32</v>
      </c>
      <c r="CN68" s="116">
        <f t="shared" si="30"/>
        <v>9019297.5600000005</v>
      </c>
      <c r="CO68" s="131">
        <f>ROUND(IF(F68=4,0,(MAX(ROUND(MAX((BI68*MIN(CL68,K68)*Worksheet!$D$126)+MAX(CL68-K68,0)*Worksheet!$F$50,SUM(J68)),2),SUM(CN68))-SUM(CN68))*MinAdj),2)</f>
        <v>0</v>
      </c>
      <c r="CP68" s="192">
        <f t="shared" si="31"/>
        <v>9019297.5600000005</v>
      </c>
      <c r="CQ68" s="131">
        <f>IF(CL68=0,0,-MIN(CP68,MIN(CP68,ROUND(IF(ROUND(IF(CL68=0,0,N68/CL68),2)&lt;STVPP*0.2,STVPP*0.2*CL68*Worksheet!$F$88/1000,N68*Worksheet!$F$88/1000),2))))</f>
        <v>-1182802.8600000001</v>
      </c>
      <c r="CR68" s="193">
        <f>-MIN(SUM(CP68,CQ68),IF($P68=0,(ROUND(Worksheet!$E$77*S68,2)+ROUND(Worksheet!$E$78*T68,2)+ROUND(Worksheet!$E$79*U68,2)+ROUND(Worksheet!$E$80*V68,2)+ROUND(Worksheet!$E$81*W68,2)+ROUND(Worksheet!$E$82*X68,2)),(ROUND(ROUND(S68*ROUND((1-$O68/$P68),4),2)*Worksheet!$E$77,2)+ROUND(ROUND(T68*ROUND((1-$O68/$P68),4),2)*Worksheet!$E$78,2)+ROUND(ROUND(U68*ROUND((1-$O68/$P68),4),2)*Worksheet!$E$79,2)+ROUND(ROUND(V68*ROUND((1-$O68/$P68),4),2)*Worksheet!$E$80,2)+ROUND(ROUND(W68*ROUND((1-$O68/$P68),4),2)*Worksheet!$E$81,2)+ROUND(ROUND(X68*ROUND((1-$O68/$P68),4),2)*Worksheet!$E$82,2))))</f>
        <v>-197063.9</v>
      </c>
      <c r="CS68" s="192">
        <f t="shared" si="78"/>
        <v>7639430.7999999998</v>
      </c>
      <c r="CT68" s="116">
        <f>ROUND(MIN(BA68,ROUND((ROUND(AS68*Worksheet!$E$104,2)+ROUND(AV68*Worksheet!$E$107,2)+ROUND(AT68*Worksheet!$E$105,2)+ROUND(AW68*Worksheet!$E$108,2)+ROUND(AU68*Worksheet!$E$106,2)+ROUND(AX68*Worksheet!$E$109,2)+ROUND(AY68*Worksheet!$E$110,2)+ROUND(AZ68*Worksheet!$E$111,2))*Worksheet!$D$114,2))*BaseRate,2)</f>
        <v>92482.35</v>
      </c>
      <c r="CU68" s="121">
        <v>0</v>
      </c>
      <c r="CV68" s="121">
        <v>0</v>
      </c>
      <c r="CW68" s="121">
        <v>0</v>
      </c>
      <c r="CX68" s="121">
        <v>0</v>
      </c>
      <c r="CY68" s="121">
        <v>0</v>
      </c>
      <c r="DA68" s="192">
        <f t="shared" si="79"/>
        <v>0</v>
      </c>
      <c r="DB68" s="192">
        <f>MAX(-CT68,MIN(0,ROUND($R68*EFBPercent+EFBAdd,2)-$Q68),MIN(0,SUM($CS68:CS68)+MIN(0,ROUND($R68*EFBPercent+EFBAdd,2)-$Q68)))</f>
        <v>0</v>
      </c>
      <c r="DC68" s="192">
        <f>IF(CU68&lt;0,0,MAX(-CU68,MIN(0,ROUND($R68*EFBPercent+EFBAdd,2)-$Q68),MIN(0,SUM($CS68:CT68)+MIN(0,ROUND($R68*EFBPercent+EFBAdd,2)-$Q68))))</f>
        <v>0</v>
      </c>
      <c r="DD68" s="192">
        <f>IF(CV68&lt;0,0,MAX(-CV68,MIN(0,ROUND($R68*EFBPercent+EFBAdd,2)-$Q68),MIN(0,SUM($CS68:CU68)+MIN(0,ROUND($R68*EFBPercent+EFBAdd,2)-$Q68))))</f>
        <v>0</v>
      </c>
      <c r="DE68" s="192">
        <f>IF(CW68&lt;0,0,MAX(-CW68,MIN(0,ROUND($R68*EFBPercent+EFBAdd,2)-$Q68),MIN(0,SUM($CS68:CV68)+MIN(0,ROUND($R68*EFBPercent+EFBAdd,2)-$Q68))))</f>
        <v>0</v>
      </c>
      <c r="DF68" s="192">
        <f>IF(CX68&lt;0,0,MAX(-CX68,MIN(0,ROUND($R68*EFBPercent+EFBAdd,2)-$Q68),MIN(0,SUM($CS68:CW68)+MIN(0,ROUND($R68*EFBPercent+EFBAdd,2)-$Q68))))</f>
        <v>0</v>
      </c>
      <c r="DG68" s="192">
        <f>MAX(-CY68,MIN(0,ROUND($R68*EFBPercent+EFBAdd,2)-$Q68),MIN(0,SUM($CS68:CX68)+MIN(0,ROUND($R68*EFBPercent+EFBAdd,2)-$Q68)))</f>
        <v>0</v>
      </c>
      <c r="DI68" s="73">
        <f t="shared" si="80"/>
        <v>7639430.7999999998</v>
      </c>
      <c r="DJ68" s="73">
        <f t="shared" si="81"/>
        <v>92482.35</v>
      </c>
      <c r="DK68" s="73">
        <f t="shared" si="82"/>
        <v>0</v>
      </c>
      <c r="DL68" s="73">
        <f t="shared" si="83"/>
        <v>0</v>
      </c>
      <c r="DM68" s="73">
        <f t="shared" si="84"/>
        <v>0</v>
      </c>
      <c r="DN68" s="73">
        <f t="shared" si="85"/>
        <v>0</v>
      </c>
      <c r="DO68" s="73">
        <f t="shared" si="86"/>
        <v>0</v>
      </c>
      <c r="DP68" s="73"/>
      <c r="DQ68" s="73"/>
    </row>
    <row r="69" spans="1:121" ht="10.199999999999999" x14ac:dyDescent="0.2">
      <c r="A69" s="4" t="s">
        <v>547</v>
      </c>
      <c r="B69" s="188">
        <v>1092</v>
      </c>
      <c r="C69" s="189" t="s">
        <v>74</v>
      </c>
      <c r="D69" s="4">
        <v>2027</v>
      </c>
      <c r="E69" s="4" t="s">
        <v>390</v>
      </c>
      <c r="F69" s="4">
        <v>2</v>
      </c>
      <c r="G69" s="4" t="s">
        <v>683</v>
      </c>
      <c r="H69" s="4">
        <v>100</v>
      </c>
      <c r="I69" s="4" t="s">
        <v>854</v>
      </c>
      <c r="J69" s="5">
        <v>1825653.12</v>
      </c>
      <c r="K69" s="5">
        <v>203.79</v>
      </c>
      <c r="L69" s="5">
        <v>135.72999999999999</v>
      </c>
      <c r="M69" s="5">
        <v>0</v>
      </c>
      <c r="N69" s="5">
        <v>8896281</v>
      </c>
      <c r="O69" s="5">
        <v>0</v>
      </c>
      <c r="P69" s="5">
        <v>97.82</v>
      </c>
      <c r="Q69" s="5">
        <v>0</v>
      </c>
      <c r="R69" s="5">
        <v>0</v>
      </c>
      <c r="S69" s="5">
        <v>0</v>
      </c>
      <c r="T69" s="5">
        <v>0</v>
      </c>
      <c r="U69" s="5">
        <v>0</v>
      </c>
      <c r="V69" s="5">
        <v>12685.81</v>
      </c>
      <c r="W69" s="5">
        <v>6929.89</v>
      </c>
      <c r="X69" s="5">
        <v>10883.589999999998</v>
      </c>
      <c r="Y69" s="5">
        <v>5</v>
      </c>
      <c r="Z69" s="5">
        <v>23</v>
      </c>
      <c r="AA69" s="5">
        <v>125</v>
      </c>
      <c r="AB69" s="5">
        <v>35</v>
      </c>
      <c r="AC69" s="5">
        <v>0</v>
      </c>
      <c r="AD69" s="5">
        <v>0</v>
      </c>
      <c r="AE69" s="5">
        <v>0.88</v>
      </c>
      <c r="AF69" s="5">
        <v>2</v>
      </c>
      <c r="AG69" s="5">
        <v>1</v>
      </c>
      <c r="AH69" s="5">
        <v>0.16500000000000001</v>
      </c>
      <c r="AI69" s="5">
        <v>0</v>
      </c>
      <c r="AJ69" s="5">
        <v>0</v>
      </c>
      <c r="AK69" s="5">
        <v>0</v>
      </c>
      <c r="AL69" s="5">
        <v>181.68</v>
      </c>
      <c r="AM69" s="5">
        <v>5</v>
      </c>
      <c r="AN69" s="5">
        <v>183</v>
      </c>
      <c r="AO69" s="5">
        <f t="shared" si="41"/>
        <v>0</v>
      </c>
      <c r="AP69" s="5">
        <f t="shared" si="75"/>
        <v>0</v>
      </c>
      <c r="AQ69" s="5">
        <v>23.52</v>
      </c>
      <c r="AR69" s="5">
        <v>0.87</v>
      </c>
      <c r="AS69" s="5">
        <v>0</v>
      </c>
      <c r="AT69" s="5">
        <v>45657</v>
      </c>
      <c r="AU69" s="5">
        <v>0</v>
      </c>
      <c r="AV69" s="5">
        <v>1197</v>
      </c>
      <c r="AW69" s="199">
        <v>135.72999999999999</v>
      </c>
      <c r="AX69" s="199">
        <v>1</v>
      </c>
      <c r="AY69" s="199">
        <v>0</v>
      </c>
      <c r="AZ69" s="199">
        <v>0</v>
      </c>
      <c r="BA69" s="5">
        <v>241054.76</v>
      </c>
      <c r="BB69" s="13">
        <v>519907.44</v>
      </c>
      <c r="BC69" s="190">
        <f>MAX(ROUND(IF(F69&lt;4,IF(H69=0,(SUM(Y69:AD69)*Worksheet!$E$26+Y69*Worksheet!$E$27+AR69*Worksheet!$E$39)*-BaseRate,0)),2),MIN(0,-DI69))</f>
        <v>0</v>
      </c>
      <c r="BD69" s="190">
        <f>MAX(ROUND(IF(F69=4,0,IF(I69=0,0,ROUND(SUM(Y69:AD69)*Worksheet!$E$28,2)*-BaseRate)),2),MIN(0,-DI69-BC69))</f>
        <v>-4420.54</v>
      </c>
      <c r="BE69" s="130">
        <f t="shared" ref="BE69:BE132" si="87">IF($BC69=0,0,VLOOKUP($G69,$A$5:$B$210,2,FALSE))</f>
        <v>0</v>
      </c>
      <c r="BF69" s="130">
        <f t="shared" ref="BF69:BF132" si="88">IF($BD69=0,0,VLOOKUP($I69,$A$5:$B$210,2,FALSE))</f>
        <v>1406</v>
      </c>
      <c r="BG69" s="73"/>
      <c r="BH69" s="191">
        <f t="shared" ref="BH69:BH132" si="89">ROUND(IF(CL69=0,0,IF(N69/CL69&lt;0.2*STVPP,STVPP*0.2,N69/CL69)),2)</f>
        <v>36346.959999999999</v>
      </c>
      <c r="BI69" s="191">
        <f t="shared" ref="BI69:BI132" si="90">IF(K69=0,0,ROUND(J69/K69,2))</f>
        <v>8958.5</v>
      </c>
      <c r="BJ69" s="232">
        <f>IFERROR(ROUND(IF(AND(BB69*1.12&lt;N69*60/1000,N69/CL69&lt;STVPP*0.2),(CL69*STVPP*0.2*Worksheet!$F$88/1000-BB69*1.12)*PropTaxAdj,IF(BB69*1.12&lt;N69*60/1000,(N69*60/1000-BB69*1.12)*PropTaxAdj,0)),2),0)</f>
        <v>0</v>
      </c>
      <c r="BK69" s="192">
        <f>ROUND(IF($F69=4,0,Y69*Worksheet!$E$16),2)</f>
        <v>5</v>
      </c>
      <c r="BL69" s="192">
        <f>ROUND(IF($F69=4,0,Z69*Worksheet!$E$17),2)</f>
        <v>23</v>
      </c>
      <c r="BM69" s="192">
        <f>ROUND(IF($F69=4,0,AA69*Worksheet!$E$18),2)</f>
        <v>125</v>
      </c>
      <c r="BN69" s="192">
        <f>ROUND(IF($F69=4,0,AB69*Worksheet!$E$19),2)</f>
        <v>35</v>
      </c>
      <c r="BO69" s="192">
        <f>ROUND(IF($F69=4,0,AC69*Worksheet!$E$20),2)</f>
        <v>0</v>
      </c>
      <c r="BP69" s="192">
        <f>ROUND(AD69*Worksheet!$E$21,2)</f>
        <v>0</v>
      </c>
      <c r="BQ69" s="192">
        <f t="shared" si="76"/>
        <v>188</v>
      </c>
      <c r="BR69" s="192">
        <f>ROUND(AD69*Worksheet!$E$25,2)</f>
        <v>0</v>
      </c>
      <c r="BS69" s="192">
        <f>ROUND(SUM(BQ69)*Worksheet!$E$26,2)</f>
        <v>16.54</v>
      </c>
      <c r="BT69" s="192">
        <f>ROUND(Y69*Worksheet!$E$27,2)</f>
        <v>0.85</v>
      </c>
      <c r="BU69" s="192">
        <f>ROUND(AO69*Worksheet!$E$29,2)</f>
        <v>0</v>
      </c>
      <c r="BV69" s="192">
        <f>ROUND(AP69*Worksheet!$E$30,2)</f>
        <v>0</v>
      </c>
      <c r="BW69" s="192">
        <f>ROUND(IF($I69&lt;&gt;0,$BQ69*Worksheet!$E$28,0),2)</f>
        <v>0.38</v>
      </c>
      <c r="BX69" s="192">
        <f>ROUND(AE69*Worksheet!$E$31,2)</f>
        <v>0.35</v>
      </c>
      <c r="BY69" s="192">
        <f>ROUND(AF69*Worksheet!$E$32,2)</f>
        <v>0.56000000000000005</v>
      </c>
      <c r="BZ69" s="192">
        <f>ROUND(AG69*Worksheet!$E$33,2)</f>
        <v>7.0000000000000007E-2</v>
      </c>
      <c r="CA69" s="192">
        <f>ROUND(ROUND(AH69*BQ69,2)*Worksheet!$E$34,2)</f>
        <v>0.78</v>
      </c>
      <c r="CB69" s="192">
        <f>ROUND(AI69*Worksheet!$E$35,2)</f>
        <v>0</v>
      </c>
      <c r="CC69" s="192">
        <f>ROUND(AJ69*Worksheet!$E$36,2)</f>
        <v>0</v>
      </c>
      <c r="CD69" s="192">
        <f>ROUND(AQ69*Worksheet!$E$38,2)</f>
        <v>14.11</v>
      </c>
      <c r="CE69" s="192">
        <f>ROUND(AR69*Worksheet!$E$39,2)</f>
        <v>0.87</v>
      </c>
      <c r="CF69" s="192">
        <f>IF(AND(L69&gt;275,SUM(Y69:AD69)&lt;100),ROUND(SUM(Y69:AD69)*Worksheet!$E$41,2),0)</f>
        <v>0</v>
      </c>
      <c r="CG69" s="192">
        <f>IF(AND(L69&gt;600,SUM(Y69:AD69)&lt;50),ROUND((50-SUM(Y69:AD69))*(Worksheet!$E$41+1),2),0)</f>
        <v>0</v>
      </c>
      <c r="CH69" s="192">
        <f t="shared" si="77"/>
        <v>222.51</v>
      </c>
      <c r="CI69" s="116">
        <f t="shared" si="43"/>
        <v>0</v>
      </c>
      <c r="CJ69" s="116">
        <f t="shared" si="44"/>
        <v>222.51</v>
      </c>
      <c r="CK69" s="95">
        <f t="shared" ref="CK69:CK132" si="91">ROUND(IF(BQ69=0,0,IF(M69=0,IF(F69=1,MAX(VLOOKUP(BQ69,FactorTable,4,TRUE),VLOOKUP(BQ69,FactorTable,5,TRUE)/BQ69),MAX(VLOOKUP(ROUND(BQ69/0.6,2),FactorTable,4,TRUE),VLOOKUP(ROUND(BQ69/0.6,2),FactorTable,5,TRUE)/(ROUND(BQ69/0.6,2)))),VLOOKUP(A69,FactorTableR,5,FALSE))),4)</f>
        <v>1.1000000000000001</v>
      </c>
      <c r="CL69" s="116">
        <f t="shared" si="45"/>
        <v>244.76</v>
      </c>
      <c r="CM69" s="116">
        <f t="shared" si="46"/>
        <v>244.76</v>
      </c>
      <c r="CN69" s="116">
        <f t="shared" ref="CN69:CN131" si="92">ROUND(+CM69*BaseRate,2)</f>
        <v>2847293.08</v>
      </c>
      <c r="CO69" s="131">
        <f>ROUND(IF(F69=4,0,(MAX(ROUND(MAX((BI69*MIN(CL69,K69)*Worksheet!$D$126)+MAX(CL69-K69,0)*Worksheet!$F$50,SUM(J69)),2),SUM(CN69))-SUM(CN69))*MinAdj),2)</f>
        <v>0</v>
      </c>
      <c r="CP69" s="192">
        <f t="shared" ref="CP69:CP131" si="93">SUM(CN69:CO69)</f>
        <v>2847293.08</v>
      </c>
      <c r="CQ69" s="131">
        <f>IF(CL69=0,0,-MIN(CP69,MIN(CP69,ROUND(IF(ROUND(IF(CL69=0,0,N69/CL69),2)&lt;STVPP*0.2,STVPP*0.2*CL69*Worksheet!$F$88/1000,N69*Worksheet!$F$88/1000),2))))</f>
        <v>-533776.86</v>
      </c>
      <c r="CR69" s="193">
        <f>-MIN(SUM(CP69,CQ69),IF($P69=0,(ROUND(Worksheet!$E$77*S69,2)+ROUND(Worksheet!$E$78*T69,2)+ROUND(Worksheet!$E$79*U69,2)+ROUND(Worksheet!$E$80*V69,2)+ROUND(Worksheet!$E$81*W69,2)+ROUND(Worksheet!$E$82*X69,2)),(ROUND(ROUND(S69*ROUND((1-$O69/$P69),4),2)*Worksheet!$E$77,2)+ROUND(ROUND(T69*ROUND((1-$O69/$P69),4),2)*Worksheet!$E$78,2)+ROUND(ROUND(U69*ROUND((1-$O69/$P69),4),2)*Worksheet!$E$79,2)+ROUND(ROUND(V69*ROUND((1-$O69/$P69),4),2)*Worksheet!$E$80,2)+ROUND(ROUND(W69*ROUND((1-$O69/$P69),4),2)*Worksheet!$E$81,2)+ROUND(ROUND(X69*ROUND((1-$O69/$P69),4),2)*Worksheet!$E$82,2))))</f>
        <v>-22874.47</v>
      </c>
      <c r="CS69" s="192">
        <f t="shared" si="78"/>
        <v>2290641.75</v>
      </c>
      <c r="CT69" s="116">
        <f>ROUND(MIN(BA69,ROUND((ROUND(AS69*Worksheet!$E$104,2)+ROUND(AV69*Worksheet!$E$107,2)+ROUND(AT69*Worksheet!$E$105,2)+ROUND(AW69*Worksheet!$E$108,2)+ROUND(AU69*Worksheet!$E$106,2)+ROUND(AX69*Worksheet!$E$109,2)+ROUND(AY69*Worksheet!$E$110,2)+ROUND(AZ69*Worksheet!$E$111,2))*Worksheet!$D$114,2))*BaseRate,2)</f>
        <v>69681.67</v>
      </c>
      <c r="CU69" s="121">
        <v>2936.26</v>
      </c>
      <c r="CV69" s="121">
        <v>0</v>
      </c>
      <c r="CW69" s="121">
        <v>0</v>
      </c>
      <c r="CX69" s="121">
        <v>0</v>
      </c>
      <c r="CY69" s="121">
        <v>0</v>
      </c>
      <c r="DA69" s="192">
        <f t="shared" si="79"/>
        <v>0</v>
      </c>
      <c r="DB69" s="192">
        <f>MAX(-CT69,MIN(0,ROUND($R69*EFBPercent+EFBAdd,2)-$Q69),MIN(0,SUM($CS69:CS69)+MIN(0,ROUND($R69*EFBPercent+EFBAdd,2)-$Q69)))</f>
        <v>0</v>
      </c>
      <c r="DC69" s="192">
        <f>IF(CU69&lt;0,0,MAX(-CU69,MIN(0,ROUND($R69*EFBPercent+EFBAdd,2)-$Q69),MIN(0,SUM($CS69:CT69)+MIN(0,ROUND($R69*EFBPercent+EFBAdd,2)-$Q69))))</f>
        <v>0</v>
      </c>
      <c r="DD69" s="192">
        <f>IF(CV69&lt;0,0,MAX(-CV69,MIN(0,ROUND($R69*EFBPercent+EFBAdd,2)-$Q69),MIN(0,SUM($CS69:CU69)+MIN(0,ROUND($R69*EFBPercent+EFBAdd,2)-$Q69))))</f>
        <v>0</v>
      </c>
      <c r="DE69" s="192">
        <f>IF(CW69&lt;0,0,MAX(-CW69,MIN(0,ROUND($R69*EFBPercent+EFBAdd,2)-$Q69),MIN(0,SUM($CS69:CV69)+MIN(0,ROUND($R69*EFBPercent+EFBAdd,2)-$Q69))))</f>
        <v>0</v>
      </c>
      <c r="DF69" s="192">
        <f>IF(CX69&lt;0,0,MAX(-CX69,MIN(0,ROUND($R69*EFBPercent+EFBAdd,2)-$Q69),MIN(0,SUM($CS69:CW69)+MIN(0,ROUND($R69*EFBPercent+EFBAdd,2)-$Q69))))</f>
        <v>0</v>
      </c>
      <c r="DG69" s="192">
        <f>MAX(-CY69,MIN(0,ROUND($R69*EFBPercent+EFBAdd,2)-$Q69),MIN(0,SUM($CS69:CX69)+MIN(0,ROUND($R69*EFBPercent+EFBAdd,2)-$Q69)))</f>
        <v>0</v>
      </c>
      <c r="DI69" s="73">
        <f t="shared" si="80"/>
        <v>2290641.75</v>
      </c>
      <c r="DJ69" s="73">
        <f t="shared" si="81"/>
        <v>69681.67</v>
      </c>
      <c r="DK69" s="73">
        <f t="shared" si="82"/>
        <v>2936.26</v>
      </c>
      <c r="DL69" s="73">
        <f t="shared" si="83"/>
        <v>0</v>
      </c>
      <c r="DM69" s="73">
        <f t="shared" si="84"/>
        <v>0</v>
      </c>
      <c r="DN69" s="73">
        <f t="shared" si="85"/>
        <v>0</v>
      </c>
      <c r="DO69" s="73">
        <f t="shared" si="86"/>
        <v>0</v>
      </c>
      <c r="DP69" s="73"/>
      <c r="DQ69" s="73"/>
    </row>
    <row r="70" spans="1:121" ht="10.199999999999999" x14ac:dyDescent="0.2">
      <c r="A70" s="4" t="s">
        <v>548</v>
      </c>
      <c r="B70" s="188">
        <v>1036</v>
      </c>
      <c r="C70" s="189" t="s">
        <v>75</v>
      </c>
      <c r="D70" s="4">
        <v>2027</v>
      </c>
      <c r="E70" s="4" t="s">
        <v>391</v>
      </c>
      <c r="F70" s="4">
        <v>2</v>
      </c>
      <c r="G70" s="4" t="s">
        <v>683</v>
      </c>
      <c r="H70" s="4">
        <v>100</v>
      </c>
      <c r="I70" s="4" t="s">
        <v>854</v>
      </c>
      <c r="J70" s="5">
        <v>1394683.5</v>
      </c>
      <c r="K70" s="5">
        <v>142.01</v>
      </c>
      <c r="L70" s="5">
        <v>103.75</v>
      </c>
      <c r="M70" s="5">
        <v>0</v>
      </c>
      <c r="N70" s="5">
        <v>5646482</v>
      </c>
      <c r="O70" s="5">
        <v>0</v>
      </c>
      <c r="P70" s="5">
        <v>110.06000000000002</v>
      </c>
      <c r="Q70" s="5">
        <v>0</v>
      </c>
      <c r="R70" s="5">
        <v>0</v>
      </c>
      <c r="S70" s="5">
        <v>0</v>
      </c>
      <c r="T70" s="5">
        <v>0</v>
      </c>
      <c r="U70" s="5">
        <v>0</v>
      </c>
      <c r="V70" s="5">
        <v>9415.7999999999993</v>
      </c>
      <c r="W70" s="5">
        <v>4585.43</v>
      </c>
      <c r="X70" s="5">
        <v>13783.03</v>
      </c>
      <c r="Y70" s="5">
        <v>1.97</v>
      </c>
      <c r="Z70" s="5">
        <v>8</v>
      </c>
      <c r="AA70" s="5">
        <v>60</v>
      </c>
      <c r="AB70" s="5">
        <v>10</v>
      </c>
      <c r="AC70" s="5">
        <v>0</v>
      </c>
      <c r="AD70" s="5">
        <v>0</v>
      </c>
      <c r="AE70" s="5">
        <v>0</v>
      </c>
      <c r="AF70" s="5">
        <v>0</v>
      </c>
      <c r="AG70" s="5">
        <v>0</v>
      </c>
      <c r="AH70" s="5">
        <v>0.98799999999999999</v>
      </c>
      <c r="AI70" s="5">
        <v>0</v>
      </c>
      <c r="AJ70" s="5">
        <v>0</v>
      </c>
      <c r="AK70" s="5">
        <v>0</v>
      </c>
      <c r="AL70" s="5">
        <v>77.33</v>
      </c>
      <c r="AM70" s="5">
        <v>0</v>
      </c>
      <c r="AN70" s="5">
        <v>78</v>
      </c>
      <c r="AO70" s="5">
        <f t="shared" ref="AO70:AO133" si="94">MAX(AL70-SUM(Z70:AD70),0)</f>
        <v>0</v>
      </c>
      <c r="AP70" s="5">
        <f t="shared" si="75"/>
        <v>0</v>
      </c>
      <c r="AQ70" s="5">
        <v>0</v>
      </c>
      <c r="AR70" s="5">
        <v>0</v>
      </c>
      <c r="AS70" s="5">
        <v>0</v>
      </c>
      <c r="AT70" s="5">
        <v>40333.5</v>
      </c>
      <c r="AU70" s="5">
        <v>0</v>
      </c>
      <c r="AV70" s="5">
        <v>1571</v>
      </c>
      <c r="AW70" s="199">
        <v>103.75</v>
      </c>
      <c r="AX70" s="199">
        <v>1</v>
      </c>
      <c r="AY70" s="199">
        <v>0</v>
      </c>
      <c r="AZ70" s="199">
        <v>0</v>
      </c>
      <c r="BA70" s="5">
        <v>114409.43</v>
      </c>
      <c r="BB70" s="13">
        <v>323456.40000000002</v>
      </c>
      <c r="BC70" s="190">
        <f>MAX(ROUND(IF(F70&lt;4,IF(H70=0,(SUM(Y70:AD70)*Worksheet!$E$26+Y70*Worksheet!$E$27+AR70*Worksheet!$E$39)*-BaseRate,0)),2),MIN(0,-DI70))</f>
        <v>0</v>
      </c>
      <c r="BD70" s="190">
        <f>MAX(ROUND(IF(F70=4,0,IF(I70=0,0,ROUND(SUM(Y70:AD70)*Worksheet!$E$28,2)*-BaseRate)),2),MIN(0,-DI70-BC70))</f>
        <v>-1861.28</v>
      </c>
      <c r="BE70" s="130">
        <f t="shared" si="87"/>
        <v>0</v>
      </c>
      <c r="BF70" s="130">
        <f t="shared" si="88"/>
        <v>1406</v>
      </c>
      <c r="BG70" s="73"/>
      <c r="BH70" s="191">
        <f t="shared" si="89"/>
        <v>40438.89</v>
      </c>
      <c r="BI70" s="191">
        <f t="shared" si="90"/>
        <v>9821.02</v>
      </c>
      <c r="BJ70" s="232">
        <f>IFERROR(ROUND(IF(AND(BB70*1.12&lt;N70*60/1000,N70/CL70&lt;STVPP*0.2),(CL70*STVPP*0.2*Worksheet!$F$88/1000-BB70*1.12)*PropTaxAdj,IF(BB70*1.12&lt;N70*60/1000,(N70*60/1000-BB70*1.12)*PropTaxAdj,0)),2),0)</f>
        <v>0</v>
      </c>
      <c r="BK70" s="192">
        <f>ROUND(IF($F70=4,0,Y70*Worksheet!$E$16),2)</f>
        <v>1.97</v>
      </c>
      <c r="BL70" s="192">
        <f>ROUND(IF($F70=4,0,Z70*Worksheet!$E$17),2)</f>
        <v>8</v>
      </c>
      <c r="BM70" s="192">
        <f>ROUND(IF($F70=4,0,AA70*Worksheet!$E$18),2)</f>
        <v>60</v>
      </c>
      <c r="BN70" s="192">
        <f>ROUND(IF($F70=4,0,AB70*Worksheet!$E$19),2)</f>
        <v>10</v>
      </c>
      <c r="BO70" s="192">
        <f>ROUND(IF($F70=4,0,AC70*Worksheet!$E$20),2)</f>
        <v>0</v>
      </c>
      <c r="BP70" s="192">
        <f>ROUND(AD70*Worksheet!$E$21,2)</f>
        <v>0</v>
      </c>
      <c r="BQ70" s="192">
        <f t="shared" si="76"/>
        <v>79.97</v>
      </c>
      <c r="BR70" s="192">
        <f>ROUND(AD70*Worksheet!$E$25,2)</f>
        <v>0</v>
      </c>
      <c r="BS70" s="192">
        <f>ROUND(SUM(BQ70)*Worksheet!$E$26,2)</f>
        <v>7.04</v>
      </c>
      <c r="BT70" s="192">
        <f>ROUND(Y70*Worksheet!$E$27,2)</f>
        <v>0.33</v>
      </c>
      <c r="BU70" s="192">
        <f>ROUND(AO70*Worksheet!$E$29,2)</f>
        <v>0</v>
      </c>
      <c r="BV70" s="192">
        <f>ROUND(AP70*Worksheet!$E$30,2)</f>
        <v>0</v>
      </c>
      <c r="BW70" s="192">
        <f>ROUND(IF($I70&lt;&gt;0,$BQ70*Worksheet!$E$28,0),2)</f>
        <v>0.16</v>
      </c>
      <c r="BX70" s="192">
        <f>ROUND(AE70*Worksheet!$E$31,2)</f>
        <v>0</v>
      </c>
      <c r="BY70" s="192">
        <f>ROUND(AF70*Worksheet!$E$32,2)</f>
        <v>0</v>
      </c>
      <c r="BZ70" s="192">
        <f>ROUND(AG70*Worksheet!$E$33,2)</f>
        <v>0</v>
      </c>
      <c r="CA70" s="192">
        <f>ROUND(ROUND(AH70*BQ70,2)*Worksheet!$E$34,2)</f>
        <v>1.98</v>
      </c>
      <c r="CB70" s="192">
        <f>ROUND(AI70*Worksheet!$E$35,2)</f>
        <v>0</v>
      </c>
      <c r="CC70" s="192">
        <f>ROUND(AJ70*Worksheet!$E$36,2)</f>
        <v>0</v>
      </c>
      <c r="CD70" s="192">
        <f>ROUND(AQ70*Worksheet!$E$38,2)</f>
        <v>0</v>
      </c>
      <c r="CE70" s="192">
        <f>ROUND(AR70*Worksheet!$E$39,2)</f>
        <v>0</v>
      </c>
      <c r="CF70" s="192">
        <f>IF(AND(L70&gt;275,SUM(Y70:AD70)&lt;100),ROUND(SUM(Y70:AD70)*Worksheet!$E$41,2),0)</f>
        <v>0</v>
      </c>
      <c r="CG70" s="192">
        <f>IF(AND(L70&gt;600,SUM(Y70:AD70)&lt;50),ROUND((50-SUM(Y70:AD70))*(Worksheet!$E$41+1),2),0)</f>
        <v>0</v>
      </c>
      <c r="CH70" s="192">
        <f t="shared" si="77"/>
        <v>89.48</v>
      </c>
      <c r="CI70" s="116">
        <f t="shared" ref="CI70:CI133" si="95">AK70</f>
        <v>0</v>
      </c>
      <c r="CJ70" s="116">
        <f t="shared" ref="CJ70:CJ133" si="96">CH70-CI70</f>
        <v>89.48</v>
      </c>
      <c r="CK70" s="95">
        <f t="shared" si="91"/>
        <v>1.5605</v>
      </c>
      <c r="CL70" s="116">
        <f t="shared" ref="CL70:CL133" si="97">ROUND(+CK70*CJ70,2)</f>
        <v>139.63</v>
      </c>
      <c r="CM70" s="116">
        <f t="shared" ref="CM70:CM133" si="98">CL70+CI70</f>
        <v>139.63</v>
      </c>
      <c r="CN70" s="116">
        <f t="shared" si="92"/>
        <v>1624315.79</v>
      </c>
      <c r="CO70" s="131">
        <f>ROUND(IF(F70=4,0,(MAX(ROUND(MAX((BI70*MIN(CL70,K70)*Worksheet!$D$126)+MAX(CL70-K70,0)*Worksheet!$F$50,SUM(J70)),2),SUM(CN70))-SUM(CN70))*MinAdj),2)</f>
        <v>0</v>
      </c>
      <c r="CP70" s="192">
        <f t="shared" si="93"/>
        <v>1624315.79</v>
      </c>
      <c r="CQ70" s="131">
        <f>IF(CL70=0,0,-MIN(CP70,MIN(CP70,ROUND(IF(ROUND(IF(CL70=0,0,N70/CL70),2)&lt;STVPP*0.2,STVPP*0.2*CL70*Worksheet!$F$88/1000,N70*Worksheet!$F$88/1000),2))))</f>
        <v>-338788.92</v>
      </c>
      <c r="CR70" s="193">
        <f>-MIN(SUM(CP70,CQ70),IF($P70=0,(ROUND(Worksheet!$E$77*S70,2)+ROUND(Worksheet!$E$78*T70,2)+ROUND(Worksheet!$E$79*U70,2)+ROUND(Worksheet!$E$80*V70,2)+ROUND(Worksheet!$E$81*W70,2)+ROUND(Worksheet!$E$82*X70,2)),(ROUND(ROUND(S70*ROUND((1-$O70/$P70),4),2)*Worksheet!$E$77,2)+ROUND(ROUND(T70*ROUND((1-$O70/$P70),4),2)*Worksheet!$E$78,2)+ROUND(ROUND(U70*ROUND((1-$O70/$P70),4),2)*Worksheet!$E$79,2)+ROUND(ROUND(V70*ROUND((1-$O70/$P70),4),2)*Worksheet!$E$80,2)+ROUND(ROUND(W70*ROUND((1-$O70/$P70),4),2)*Worksheet!$E$81,2)+ROUND(ROUND(X70*ROUND((1-$O70/$P70),4),2)*Worksheet!$E$82,2))))</f>
        <v>-20838.190000000002</v>
      </c>
      <c r="CS70" s="192">
        <f t="shared" si="78"/>
        <v>1264688.6800000002</v>
      </c>
      <c r="CT70" s="116">
        <f>ROUND(MIN(BA70,ROUND((ROUND(AS70*Worksheet!$E$104,2)+ROUND(AV70*Worksheet!$E$107,2)+ROUND(AT70*Worksheet!$E$105,2)+ROUND(AW70*Worksheet!$E$108,2)+ROUND(AU70*Worksheet!$E$106,2)+ROUND(AX70*Worksheet!$E$109,2)+ROUND(AY70*Worksheet!$E$110,2)+ROUND(AZ70*Worksheet!$E$111,2))*Worksheet!$D$114,2))*BaseRate,2)</f>
        <v>67006.080000000002</v>
      </c>
      <c r="CU70" s="121">
        <v>0</v>
      </c>
      <c r="CV70" s="121">
        <v>0</v>
      </c>
      <c r="CW70" s="121">
        <v>0</v>
      </c>
      <c r="CX70" s="121">
        <v>0</v>
      </c>
      <c r="CY70" s="121">
        <v>0</v>
      </c>
      <c r="DA70" s="192">
        <f t="shared" si="79"/>
        <v>0</v>
      </c>
      <c r="DB70" s="192">
        <f>MAX(-CT70,MIN(0,ROUND($R70*EFBPercent+EFBAdd,2)-$Q70),MIN(0,SUM($CS70:CS70)+MIN(0,ROUND($R70*EFBPercent+EFBAdd,2)-$Q70)))</f>
        <v>0</v>
      </c>
      <c r="DC70" s="192">
        <f>IF(CU70&lt;0,0,MAX(-CU70,MIN(0,ROUND($R70*EFBPercent+EFBAdd,2)-$Q70),MIN(0,SUM($CS70:CT70)+MIN(0,ROUND($R70*EFBPercent+EFBAdd,2)-$Q70))))</f>
        <v>0</v>
      </c>
      <c r="DD70" s="192">
        <f>IF(CV70&lt;0,0,MAX(-CV70,MIN(0,ROUND($R70*EFBPercent+EFBAdd,2)-$Q70),MIN(0,SUM($CS70:CU70)+MIN(0,ROUND($R70*EFBPercent+EFBAdd,2)-$Q70))))</f>
        <v>0</v>
      </c>
      <c r="DE70" s="192">
        <f>IF(CW70&lt;0,0,MAX(-CW70,MIN(0,ROUND($R70*EFBPercent+EFBAdd,2)-$Q70),MIN(0,SUM($CS70:CV70)+MIN(0,ROUND($R70*EFBPercent+EFBAdd,2)-$Q70))))</f>
        <v>0</v>
      </c>
      <c r="DF70" s="192">
        <f>IF(CX70&lt;0,0,MAX(-CX70,MIN(0,ROUND($R70*EFBPercent+EFBAdd,2)-$Q70),MIN(0,SUM($CS70:CW70)+MIN(0,ROUND($R70*EFBPercent+EFBAdd,2)-$Q70))))</f>
        <v>0</v>
      </c>
      <c r="DG70" s="192">
        <f>MAX(-CY70,MIN(0,ROUND($R70*EFBPercent+EFBAdd,2)-$Q70),MIN(0,SUM($CS70:CX70)+MIN(0,ROUND($R70*EFBPercent+EFBAdd,2)-$Q70)))</f>
        <v>0</v>
      </c>
      <c r="DI70" s="73">
        <f t="shared" si="80"/>
        <v>1264688.6800000002</v>
      </c>
      <c r="DJ70" s="73">
        <f t="shared" si="81"/>
        <v>67006.080000000002</v>
      </c>
      <c r="DK70" s="73">
        <f t="shared" si="82"/>
        <v>0</v>
      </c>
      <c r="DL70" s="73">
        <f t="shared" si="83"/>
        <v>0</v>
      </c>
      <c r="DM70" s="73">
        <f t="shared" si="84"/>
        <v>0</v>
      </c>
      <c r="DN70" s="73">
        <f t="shared" si="85"/>
        <v>0</v>
      </c>
      <c r="DO70" s="73">
        <f t="shared" si="86"/>
        <v>0</v>
      </c>
      <c r="DP70" s="73"/>
      <c r="DQ70" s="73"/>
    </row>
    <row r="71" spans="1:121" ht="10.199999999999999" x14ac:dyDescent="0.2">
      <c r="A71" s="4" t="s">
        <v>549</v>
      </c>
      <c r="B71" s="188">
        <v>1103</v>
      </c>
      <c r="C71" s="189" t="s">
        <v>76</v>
      </c>
      <c r="D71" s="4">
        <v>2027</v>
      </c>
      <c r="E71" s="4" t="s">
        <v>392</v>
      </c>
      <c r="F71" s="4">
        <v>1</v>
      </c>
      <c r="G71" s="4" t="s">
        <v>683</v>
      </c>
      <c r="H71" s="4">
        <v>100</v>
      </c>
      <c r="I71" s="4" t="s">
        <v>854</v>
      </c>
      <c r="J71" s="5">
        <v>2698726.59</v>
      </c>
      <c r="K71" s="5">
        <v>227.04</v>
      </c>
      <c r="L71" s="5">
        <v>297</v>
      </c>
      <c r="M71" s="5">
        <v>0</v>
      </c>
      <c r="N71" s="5">
        <v>13494802</v>
      </c>
      <c r="O71" s="5">
        <v>0</v>
      </c>
      <c r="P71" s="5">
        <v>98.16</v>
      </c>
      <c r="Q71" s="5">
        <v>0</v>
      </c>
      <c r="R71" s="5">
        <v>0</v>
      </c>
      <c r="S71" s="5">
        <v>0</v>
      </c>
      <c r="T71" s="5">
        <v>0</v>
      </c>
      <c r="U71" s="5">
        <v>0</v>
      </c>
      <c r="V71" s="5">
        <v>14573.69</v>
      </c>
      <c r="W71" s="5">
        <v>8142.28</v>
      </c>
      <c r="X71" s="5">
        <v>28523.67</v>
      </c>
      <c r="Y71" s="5">
        <v>0.41</v>
      </c>
      <c r="Z71" s="5">
        <v>11</v>
      </c>
      <c r="AA71" s="5">
        <v>84</v>
      </c>
      <c r="AB71" s="5">
        <v>27</v>
      </c>
      <c r="AC71" s="5">
        <v>49</v>
      </c>
      <c r="AD71" s="5">
        <v>0</v>
      </c>
      <c r="AE71" s="5">
        <v>0</v>
      </c>
      <c r="AF71" s="5">
        <v>0</v>
      </c>
      <c r="AG71" s="5">
        <v>0</v>
      </c>
      <c r="AH71" s="5">
        <v>0.378</v>
      </c>
      <c r="AI71" s="5">
        <v>0</v>
      </c>
      <c r="AJ71" s="5">
        <v>0</v>
      </c>
      <c r="AK71" s="5">
        <v>0</v>
      </c>
      <c r="AL71" s="5">
        <v>170.25</v>
      </c>
      <c r="AM71" s="5">
        <v>4.7800000000000011</v>
      </c>
      <c r="AN71" s="5">
        <v>171</v>
      </c>
      <c r="AO71" s="5">
        <f t="shared" si="94"/>
        <v>0</v>
      </c>
      <c r="AP71" s="5">
        <f t="shared" si="75"/>
        <v>0</v>
      </c>
      <c r="AQ71" s="5">
        <v>12.25</v>
      </c>
      <c r="AR71" s="5">
        <v>0</v>
      </c>
      <c r="AS71" s="5">
        <v>944</v>
      </c>
      <c r="AT71" s="5">
        <v>83983.6</v>
      </c>
      <c r="AU71" s="5">
        <v>16</v>
      </c>
      <c r="AV71" s="5">
        <v>1643</v>
      </c>
      <c r="AW71" s="199">
        <v>297</v>
      </c>
      <c r="AX71" s="199">
        <v>1</v>
      </c>
      <c r="AY71" s="199">
        <v>0</v>
      </c>
      <c r="AZ71" s="199">
        <v>0</v>
      </c>
      <c r="BA71" s="5">
        <v>249649.59</v>
      </c>
      <c r="BB71" s="13">
        <v>797847.6</v>
      </c>
      <c r="BC71" s="190">
        <f>MAX(ROUND(IF(F71&lt;4,IF(H71=0,(SUM(Y71:AD71)*Worksheet!$E$26+Y71*Worksheet!$E$27+AR71*Worksheet!$E$39)*-BaseRate,0)),2),MIN(0,-DI71))</f>
        <v>0</v>
      </c>
      <c r="BD71" s="190">
        <f>MAX(ROUND(IF(F71=4,0,IF(I71=0,0,ROUND(SUM(Y71:AD71)*Worksheet!$E$28,2)*-BaseRate)),2),MIN(0,-DI71-BC71))</f>
        <v>-3955.22</v>
      </c>
      <c r="BE71" s="130">
        <f t="shared" si="87"/>
        <v>0</v>
      </c>
      <c r="BF71" s="130">
        <f t="shared" si="88"/>
        <v>1406</v>
      </c>
      <c r="BG71" s="73"/>
      <c r="BH71" s="191">
        <f t="shared" si="89"/>
        <v>51414.65</v>
      </c>
      <c r="BI71" s="191">
        <f t="shared" si="90"/>
        <v>11886.57</v>
      </c>
      <c r="BJ71" s="232">
        <f>IFERROR(ROUND(IF(AND(BB71*1.12&lt;N71*60/1000,N71/CL71&lt;STVPP*0.2),(CL71*STVPP*0.2*Worksheet!$F$88/1000-BB71*1.12)*PropTaxAdj,IF(BB71*1.12&lt;N71*60/1000,(N71*60/1000-BB71*1.12)*PropTaxAdj,0)),2),0)</f>
        <v>0</v>
      </c>
      <c r="BK71" s="192">
        <f>ROUND(IF($F71=4,0,Y71*Worksheet!$E$16),2)</f>
        <v>0.41</v>
      </c>
      <c r="BL71" s="192">
        <f>ROUND(IF($F71=4,0,Z71*Worksheet!$E$17),2)</f>
        <v>11</v>
      </c>
      <c r="BM71" s="192">
        <f>ROUND(IF($F71=4,0,AA71*Worksheet!$E$18),2)</f>
        <v>84</v>
      </c>
      <c r="BN71" s="192">
        <f>ROUND(IF($F71=4,0,AB71*Worksheet!$E$19),2)</f>
        <v>27</v>
      </c>
      <c r="BO71" s="192">
        <f>ROUND(IF($F71=4,0,AC71*Worksheet!$E$20),2)</f>
        <v>49</v>
      </c>
      <c r="BP71" s="192">
        <f>ROUND(AD71*Worksheet!$E$21,2)</f>
        <v>0</v>
      </c>
      <c r="BQ71" s="192">
        <f t="shared" si="76"/>
        <v>171.41</v>
      </c>
      <c r="BR71" s="192">
        <f>ROUND(AD71*Worksheet!$E$25,2)</f>
        <v>0</v>
      </c>
      <c r="BS71" s="192">
        <f>ROUND(SUM(BQ71)*Worksheet!$E$26,2)</f>
        <v>15.08</v>
      </c>
      <c r="BT71" s="192">
        <f>ROUND(Y71*Worksheet!$E$27,2)</f>
        <v>7.0000000000000007E-2</v>
      </c>
      <c r="BU71" s="192">
        <f>ROUND(AO71*Worksheet!$E$29,2)</f>
        <v>0</v>
      </c>
      <c r="BV71" s="192">
        <f>ROUND(AP71*Worksheet!$E$30,2)</f>
        <v>0</v>
      </c>
      <c r="BW71" s="192">
        <f>ROUND(IF($I71&lt;&gt;0,$BQ71*Worksheet!$E$28,0),2)</f>
        <v>0.34</v>
      </c>
      <c r="BX71" s="192">
        <f>ROUND(AE71*Worksheet!$E$31,2)</f>
        <v>0</v>
      </c>
      <c r="BY71" s="192">
        <f>ROUND(AF71*Worksheet!$E$32,2)</f>
        <v>0</v>
      </c>
      <c r="BZ71" s="192">
        <f>ROUND(AG71*Worksheet!$E$33,2)</f>
        <v>0</v>
      </c>
      <c r="CA71" s="192">
        <f>ROUND(ROUND(AH71*BQ71,2)*Worksheet!$E$34,2)</f>
        <v>1.62</v>
      </c>
      <c r="CB71" s="192">
        <f>ROUND(AI71*Worksheet!$E$35,2)</f>
        <v>0</v>
      </c>
      <c r="CC71" s="192">
        <f>ROUND(AJ71*Worksheet!$E$36,2)</f>
        <v>0</v>
      </c>
      <c r="CD71" s="192">
        <f>ROUND(AQ71*Worksheet!$E$38,2)</f>
        <v>7.35</v>
      </c>
      <c r="CE71" s="192">
        <f>ROUND(AR71*Worksheet!$E$39,2)</f>
        <v>0</v>
      </c>
      <c r="CF71" s="192">
        <f>IF(AND(L71&gt;275,SUM(Y71:AD71)&lt;100),ROUND(SUM(Y71:AD71)*Worksheet!$E$41,2),0)</f>
        <v>0</v>
      </c>
      <c r="CG71" s="192">
        <f>IF(AND(L71&gt;600,SUM(Y71:AD71)&lt;50),ROUND((50-SUM(Y71:AD71))*(Worksheet!$E$41+1),2),0)</f>
        <v>0</v>
      </c>
      <c r="CH71" s="192">
        <f t="shared" si="77"/>
        <v>195.87</v>
      </c>
      <c r="CI71" s="116">
        <f t="shared" si="95"/>
        <v>0</v>
      </c>
      <c r="CJ71" s="116">
        <f t="shared" si="96"/>
        <v>195.87</v>
      </c>
      <c r="CK71" s="95">
        <f t="shared" si="91"/>
        <v>1.34</v>
      </c>
      <c r="CL71" s="116">
        <f t="shared" si="97"/>
        <v>262.47000000000003</v>
      </c>
      <c r="CM71" s="116">
        <f t="shared" si="98"/>
        <v>262.47000000000003</v>
      </c>
      <c r="CN71" s="116">
        <f t="shared" si="92"/>
        <v>3053313.51</v>
      </c>
      <c r="CO71" s="131">
        <f>ROUND(IF(F71=4,0,(MAX(ROUND(MAX((BI71*MIN(CL71,K71)*Worksheet!$D$126)+MAX(CL71-K71,0)*Worksheet!$F$50,SUM(J71)),2),SUM(CN71))-SUM(CN71))*MinAdj),2)</f>
        <v>16731.759999999998</v>
      </c>
      <c r="CP71" s="192">
        <f t="shared" si="93"/>
        <v>3070045.2699999996</v>
      </c>
      <c r="CQ71" s="131">
        <f>IF(CL71=0,0,-MIN(CP71,MIN(CP71,ROUND(IF(ROUND(IF(CL71=0,0,N71/CL71),2)&lt;STVPP*0.2,STVPP*0.2*CL71*Worksheet!$F$88/1000,N71*Worksheet!$F$88/1000),2))))</f>
        <v>-809688.12</v>
      </c>
      <c r="CR71" s="193">
        <f>-MIN(SUM(CP71,CQ71),IF($P71=0,(ROUND(Worksheet!$E$77*S71,2)+ROUND(Worksheet!$E$78*T71,2)+ROUND(Worksheet!$E$79*U71,2)+ROUND(Worksheet!$E$80*V71,2)+ROUND(Worksheet!$E$81*W71,2)+ROUND(Worksheet!$E$82*X71,2)),(ROUND(ROUND(S71*ROUND((1-$O71/$P71),4),2)*Worksheet!$E$77,2)+ROUND(ROUND(T71*ROUND((1-$O71/$P71),4),2)*Worksheet!$E$78,2)+ROUND(ROUND(U71*ROUND((1-$O71/$P71),4),2)*Worksheet!$E$79,2)+ROUND(ROUND(V71*ROUND((1-$O71/$P71),4),2)*Worksheet!$E$80,2)+ROUND(ROUND(W71*ROUND((1-$O71/$P71),4),2)*Worksheet!$E$81,2)+ROUND(ROUND(X71*ROUND((1-$O71/$P71),4),2)*Worksheet!$E$82,2))))</f>
        <v>-38429.729999999996</v>
      </c>
      <c r="CS71" s="192">
        <f t="shared" si="78"/>
        <v>2221927.4199999995</v>
      </c>
      <c r="CT71" s="116">
        <f>ROUND(MIN(BA71,ROUND((ROUND(AS71*Worksheet!$E$104,2)+ROUND(AV71*Worksheet!$E$107,2)+ROUND(AT71*Worksheet!$E$105,2)+ROUND(AW71*Worksheet!$E$108,2)+ROUND(AU71*Worksheet!$E$106,2)+ROUND(AX71*Worksheet!$E$109,2)+ROUND(AY71*Worksheet!$E$110,2)+ROUND(AZ71*Worksheet!$E$111,2))*Worksheet!$D$114,2))*BaseRate,2)</f>
        <v>121681.18</v>
      </c>
      <c r="CU71" s="121">
        <v>0</v>
      </c>
      <c r="CV71" s="121">
        <v>0</v>
      </c>
      <c r="CW71" s="121">
        <v>0</v>
      </c>
      <c r="CX71" s="121">
        <v>0</v>
      </c>
      <c r="CY71" s="121">
        <v>0</v>
      </c>
      <c r="DA71" s="192">
        <f t="shared" si="79"/>
        <v>0</v>
      </c>
      <c r="DB71" s="192">
        <f>MAX(-CT71,MIN(0,ROUND($R71*EFBPercent+EFBAdd,2)-$Q71),MIN(0,SUM($CS71:CS71)+MIN(0,ROUND($R71*EFBPercent+EFBAdd,2)-$Q71)))</f>
        <v>0</v>
      </c>
      <c r="DC71" s="192">
        <f>IF(CU71&lt;0,0,MAX(-CU71,MIN(0,ROUND($R71*EFBPercent+EFBAdd,2)-$Q71),MIN(0,SUM($CS71:CT71)+MIN(0,ROUND($R71*EFBPercent+EFBAdd,2)-$Q71))))</f>
        <v>0</v>
      </c>
      <c r="DD71" s="192">
        <f>IF(CV71&lt;0,0,MAX(-CV71,MIN(0,ROUND($R71*EFBPercent+EFBAdd,2)-$Q71),MIN(0,SUM($CS71:CU71)+MIN(0,ROUND($R71*EFBPercent+EFBAdd,2)-$Q71))))</f>
        <v>0</v>
      </c>
      <c r="DE71" s="192">
        <f>IF(CW71&lt;0,0,MAX(-CW71,MIN(0,ROUND($R71*EFBPercent+EFBAdd,2)-$Q71),MIN(0,SUM($CS71:CV71)+MIN(0,ROUND($R71*EFBPercent+EFBAdd,2)-$Q71))))</f>
        <v>0</v>
      </c>
      <c r="DF71" s="192">
        <f>IF(CX71&lt;0,0,MAX(-CX71,MIN(0,ROUND($R71*EFBPercent+EFBAdd,2)-$Q71),MIN(0,SUM($CS71:CW71)+MIN(0,ROUND($R71*EFBPercent+EFBAdd,2)-$Q71))))</f>
        <v>0</v>
      </c>
      <c r="DG71" s="192">
        <f>MAX(-CY71,MIN(0,ROUND($R71*EFBPercent+EFBAdd,2)-$Q71),MIN(0,SUM($CS71:CX71)+MIN(0,ROUND($R71*EFBPercent+EFBAdd,2)-$Q71)))</f>
        <v>0</v>
      </c>
      <c r="DI71" s="73">
        <f t="shared" si="80"/>
        <v>2221927.4199999995</v>
      </c>
      <c r="DJ71" s="73">
        <f t="shared" si="81"/>
        <v>121681.18</v>
      </c>
      <c r="DK71" s="73">
        <f t="shared" si="82"/>
        <v>0</v>
      </c>
      <c r="DL71" s="73">
        <f t="shared" si="83"/>
        <v>0</v>
      </c>
      <c r="DM71" s="73">
        <f t="shared" si="84"/>
        <v>0</v>
      </c>
      <c r="DN71" s="73">
        <f t="shared" si="85"/>
        <v>0</v>
      </c>
      <c r="DO71" s="73">
        <f t="shared" si="86"/>
        <v>0</v>
      </c>
      <c r="DP71" s="73"/>
      <c r="DQ71" s="73"/>
    </row>
    <row r="72" spans="1:121" ht="10.199999999999999" x14ac:dyDescent="0.2">
      <c r="A72" s="4" t="s">
        <v>550</v>
      </c>
      <c r="B72" s="188">
        <v>1127</v>
      </c>
      <c r="C72" s="189" t="s">
        <v>77</v>
      </c>
      <c r="D72" s="4">
        <v>2027</v>
      </c>
      <c r="E72" s="4" t="s">
        <v>393</v>
      </c>
      <c r="F72" s="4">
        <v>1</v>
      </c>
      <c r="G72" s="4" t="s">
        <v>682</v>
      </c>
      <c r="H72" s="4">
        <v>0</v>
      </c>
      <c r="I72" s="4" t="s">
        <v>854</v>
      </c>
      <c r="J72" s="5">
        <v>3581366.88</v>
      </c>
      <c r="K72" s="5">
        <v>371.28</v>
      </c>
      <c r="L72" s="5">
        <v>256.68</v>
      </c>
      <c r="M72" s="5">
        <v>0</v>
      </c>
      <c r="N72" s="5">
        <v>14617515</v>
      </c>
      <c r="O72" s="5">
        <v>33</v>
      </c>
      <c r="P72" s="5">
        <v>108</v>
      </c>
      <c r="Q72" s="5">
        <v>0</v>
      </c>
      <c r="R72" s="5">
        <v>0</v>
      </c>
      <c r="S72" s="5">
        <v>3625</v>
      </c>
      <c r="T72" s="5">
        <v>0</v>
      </c>
      <c r="U72" s="5">
        <v>0</v>
      </c>
      <c r="V72" s="5">
        <v>16067.359999999999</v>
      </c>
      <c r="W72" s="5">
        <v>1488.57</v>
      </c>
      <c r="X72" s="5">
        <v>13116.32</v>
      </c>
      <c r="Y72" s="5">
        <v>0.21</v>
      </c>
      <c r="Z72" s="5">
        <v>20</v>
      </c>
      <c r="AA72" s="5">
        <v>150</v>
      </c>
      <c r="AB72" s="5">
        <v>60</v>
      </c>
      <c r="AC72" s="5">
        <v>99</v>
      </c>
      <c r="AD72" s="5">
        <v>0</v>
      </c>
      <c r="AE72" s="5">
        <v>0</v>
      </c>
      <c r="AF72" s="5">
        <v>0</v>
      </c>
      <c r="AG72" s="5">
        <v>0</v>
      </c>
      <c r="AH72" s="5">
        <v>0.30399999999999999</v>
      </c>
      <c r="AI72" s="5">
        <v>0</v>
      </c>
      <c r="AJ72" s="5">
        <v>0</v>
      </c>
      <c r="AK72" s="5">
        <v>0</v>
      </c>
      <c r="AL72" s="5">
        <v>327.76</v>
      </c>
      <c r="AM72" s="5">
        <v>0</v>
      </c>
      <c r="AN72" s="5">
        <v>329</v>
      </c>
      <c r="AO72" s="5">
        <f t="shared" si="94"/>
        <v>0</v>
      </c>
      <c r="AP72" s="5">
        <f t="shared" si="75"/>
        <v>0</v>
      </c>
      <c r="AQ72" s="5">
        <v>6.3</v>
      </c>
      <c r="AR72" s="5">
        <v>0</v>
      </c>
      <c r="AS72" s="5">
        <v>0</v>
      </c>
      <c r="AT72" s="5">
        <v>90300</v>
      </c>
      <c r="AU72" s="5">
        <v>0</v>
      </c>
      <c r="AV72" s="5">
        <v>1750</v>
      </c>
      <c r="AW72" s="199">
        <v>256.68</v>
      </c>
      <c r="AX72" s="199">
        <v>1</v>
      </c>
      <c r="AY72" s="199">
        <v>0</v>
      </c>
      <c r="AZ72" s="199">
        <v>0</v>
      </c>
      <c r="BA72" s="5">
        <v>250129.06</v>
      </c>
      <c r="BB72" s="13">
        <v>854873.52</v>
      </c>
      <c r="BC72" s="190">
        <f>MAX(ROUND(IF(F72&lt;4,IF(H72=0,(SUM(Y72:AD72)*Worksheet!$E$26+Y72*Worksheet!$E$27+AR72*Worksheet!$E$39)*-BaseRate,0)),2),MIN(0,-DI72))</f>
        <v>-337428.89</v>
      </c>
      <c r="BD72" s="190">
        <f>MAX(ROUND(IF(F72=4,0,IF(I72=0,0,ROUND(SUM(Y72:AD72)*Worksheet!$E$28,2)*-BaseRate)),2),MIN(0,-DI72-BC72))</f>
        <v>-7677.78</v>
      </c>
      <c r="BE72" s="130">
        <f t="shared" si="87"/>
        <v>2511</v>
      </c>
      <c r="BF72" s="130">
        <f t="shared" si="88"/>
        <v>1406</v>
      </c>
      <c r="BG72" s="73"/>
      <c r="BH72" s="191">
        <f t="shared" si="89"/>
        <v>36725.58</v>
      </c>
      <c r="BI72" s="191">
        <f t="shared" si="90"/>
        <v>9646</v>
      </c>
      <c r="BJ72" s="232">
        <f>IFERROR(ROUND(IF(AND(BB72*1.12&lt;N72*60/1000,N72/CL72&lt;STVPP*0.2),(CL72*STVPP*0.2*Worksheet!$F$88/1000-BB72*1.12)*PropTaxAdj,IF(BB72*1.12&lt;N72*60/1000,(N72*60/1000-BB72*1.12)*PropTaxAdj,0)),2),0)</f>
        <v>0</v>
      </c>
      <c r="BK72" s="192">
        <f>ROUND(IF($F72=4,0,Y72*Worksheet!$E$16),2)</f>
        <v>0.21</v>
      </c>
      <c r="BL72" s="192">
        <f>ROUND(IF($F72=4,0,Z72*Worksheet!$E$17),2)</f>
        <v>20</v>
      </c>
      <c r="BM72" s="192">
        <f>ROUND(IF($F72=4,0,AA72*Worksheet!$E$18),2)</f>
        <v>150</v>
      </c>
      <c r="BN72" s="192">
        <f>ROUND(IF($F72=4,0,AB72*Worksheet!$E$19),2)</f>
        <v>60</v>
      </c>
      <c r="BO72" s="192">
        <f>ROUND(IF($F72=4,0,AC72*Worksheet!$E$20),2)</f>
        <v>99</v>
      </c>
      <c r="BP72" s="192">
        <f>ROUND(AD72*Worksheet!$E$21,2)</f>
        <v>0</v>
      </c>
      <c r="BQ72" s="192">
        <f t="shared" si="76"/>
        <v>329.21000000000004</v>
      </c>
      <c r="BR72" s="192">
        <f>ROUND(AD72*Worksheet!$E$25,2)</f>
        <v>0</v>
      </c>
      <c r="BS72" s="192">
        <f>ROUND(SUM(BQ72)*Worksheet!$E$26,2)</f>
        <v>28.97</v>
      </c>
      <c r="BT72" s="192">
        <f>ROUND(Y72*Worksheet!$E$27,2)</f>
        <v>0.04</v>
      </c>
      <c r="BU72" s="192">
        <f>ROUND(AO72*Worksheet!$E$29,2)</f>
        <v>0</v>
      </c>
      <c r="BV72" s="192">
        <f>ROUND(AP72*Worksheet!$E$30,2)</f>
        <v>0</v>
      </c>
      <c r="BW72" s="192">
        <f>ROUND(IF($I72&lt;&gt;0,$BQ72*Worksheet!$E$28,0),2)</f>
        <v>0.66</v>
      </c>
      <c r="BX72" s="192">
        <f>ROUND(AE72*Worksheet!$E$31,2)</f>
        <v>0</v>
      </c>
      <c r="BY72" s="192">
        <f>ROUND(AF72*Worksheet!$E$32,2)</f>
        <v>0</v>
      </c>
      <c r="BZ72" s="192">
        <f>ROUND(AG72*Worksheet!$E$33,2)</f>
        <v>0</v>
      </c>
      <c r="CA72" s="192">
        <f>ROUND(ROUND(AH72*BQ72,2)*Worksheet!$E$34,2)</f>
        <v>2.5</v>
      </c>
      <c r="CB72" s="192">
        <f>ROUND(AI72*Worksheet!$E$35,2)</f>
        <v>0</v>
      </c>
      <c r="CC72" s="192">
        <f>ROUND(AJ72*Worksheet!$E$36,2)</f>
        <v>0</v>
      </c>
      <c r="CD72" s="192">
        <f>ROUND(AQ72*Worksheet!$E$38,2)</f>
        <v>3.78</v>
      </c>
      <c r="CE72" s="192">
        <f>ROUND(AR72*Worksheet!$E$39,2)</f>
        <v>0</v>
      </c>
      <c r="CF72" s="192">
        <f>IF(AND(L72&gt;275,SUM(Y72:AD72)&lt;100),ROUND(SUM(Y72:AD72)*Worksheet!$E$41,2),0)</f>
        <v>0</v>
      </c>
      <c r="CG72" s="192">
        <f>IF(AND(L72&gt;600,SUM(Y72:AD72)&lt;50),ROUND((50-SUM(Y72:AD72))*(Worksheet!$E$41+1),2),0)</f>
        <v>0</v>
      </c>
      <c r="CH72" s="192">
        <f t="shared" si="77"/>
        <v>365.16000000000008</v>
      </c>
      <c r="CI72" s="116">
        <f t="shared" si="95"/>
        <v>0</v>
      </c>
      <c r="CJ72" s="116">
        <f t="shared" si="96"/>
        <v>365.16000000000008</v>
      </c>
      <c r="CK72" s="95">
        <f t="shared" si="91"/>
        <v>1.0900000000000001</v>
      </c>
      <c r="CL72" s="116">
        <f t="shared" si="97"/>
        <v>398.02</v>
      </c>
      <c r="CM72" s="116">
        <f t="shared" si="98"/>
        <v>398.02</v>
      </c>
      <c r="CN72" s="116">
        <f t="shared" si="92"/>
        <v>4630166.66</v>
      </c>
      <c r="CO72" s="131">
        <f>ROUND(IF(F72=4,0,(MAX(ROUND(MAX((BI72*MIN(CL72,K72)*Worksheet!$D$126)+MAX(CL72-K72,0)*Worksheet!$F$50,SUM(J72)),2),SUM(CN72))-SUM(CN72))*MinAdj),2)</f>
        <v>0</v>
      </c>
      <c r="CP72" s="192">
        <f t="shared" si="93"/>
        <v>4630166.66</v>
      </c>
      <c r="CQ72" s="131">
        <f>IF(CL72=0,0,-MIN(CP72,MIN(CP72,ROUND(IF(ROUND(IF(CL72=0,0,N72/CL72),2)&lt;STVPP*0.2,STVPP*0.2*CL72*Worksheet!$F$88/1000,N72*Worksheet!$F$88/1000),2))))</f>
        <v>-877050.9</v>
      </c>
      <c r="CR72" s="193">
        <f>-MIN(SUM(CP72,CQ72),IF($P72=0,(ROUND(Worksheet!$E$77*S72,2)+ROUND(Worksheet!$E$78*T72,2)+ROUND(Worksheet!$E$79*U72,2)+ROUND(Worksheet!$E$80*V72,2)+ROUND(Worksheet!$E$81*W72,2)+ROUND(Worksheet!$E$82*X72,2)),(ROUND(ROUND(S72*ROUND((1-$O72/$P72),4),2)*Worksheet!$E$77,2)+ROUND(ROUND(T72*ROUND((1-$O72/$P72),4),2)*Worksheet!$E$78,2)+ROUND(ROUND(U72*ROUND((1-$O72/$P72),4),2)*Worksheet!$E$79,2)+ROUND(ROUND(V72*ROUND((1-$O72/$P72),4),2)*Worksheet!$E$80,2)+ROUND(ROUND(W72*ROUND((1-$O72/$P72),4),2)*Worksheet!$E$81,2)+ROUND(ROUND(X72*ROUND((1-$O72/$P72),4),2)*Worksheet!$E$82,2))))</f>
        <v>-17862.009999999998</v>
      </c>
      <c r="CS72" s="192">
        <f t="shared" si="78"/>
        <v>3735253.7500000005</v>
      </c>
      <c r="CT72" s="116">
        <f>ROUND(MIN(BA72,ROUND((ROUND(AS72*Worksheet!$E$104,2)+ROUND(AV72*Worksheet!$E$107,2)+ROUND(AT72*Worksheet!$E$105,2)+ROUND(AW72*Worksheet!$E$108,2)+ROUND(AU72*Worksheet!$E$106,2)+ROUND(AX72*Worksheet!$E$109,2)+ROUND(AY72*Worksheet!$E$110,2)+ROUND(AZ72*Worksheet!$E$111,2))*Worksheet!$D$114,2))*BaseRate,2)</f>
        <v>129009.97</v>
      </c>
      <c r="CU72" s="121">
        <v>0</v>
      </c>
      <c r="CV72" s="121">
        <v>0</v>
      </c>
      <c r="CW72" s="121">
        <v>0</v>
      </c>
      <c r="CX72" s="121">
        <v>0</v>
      </c>
      <c r="CY72" s="121">
        <v>0</v>
      </c>
      <c r="DA72" s="192">
        <f t="shared" si="79"/>
        <v>0</v>
      </c>
      <c r="DB72" s="192">
        <f>MAX(-CT72,MIN(0,ROUND($R72*EFBPercent+EFBAdd,2)-$Q72),MIN(0,SUM($CS72:CS72)+MIN(0,ROUND($R72*EFBPercent+EFBAdd,2)-$Q72)))</f>
        <v>0</v>
      </c>
      <c r="DC72" s="192">
        <f>IF(CU72&lt;0,0,MAX(-CU72,MIN(0,ROUND($R72*EFBPercent+EFBAdd,2)-$Q72),MIN(0,SUM($CS72:CT72)+MIN(0,ROUND($R72*EFBPercent+EFBAdd,2)-$Q72))))</f>
        <v>0</v>
      </c>
      <c r="DD72" s="192">
        <f>IF(CV72&lt;0,0,MAX(-CV72,MIN(0,ROUND($R72*EFBPercent+EFBAdd,2)-$Q72),MIN(0,SUM($CS72:CU72)+MIN(0,ROUND($R72*EFBPercent+EFBAdd,2)-$Q72))))</f>
        <v>0</v>
      </c>
      <c r="DE72" s="192">
        <f>IF(CW72&lt;0,0,MAX(-CW72,MIN(0,ROUND($R72*EFBPercent+EFBAdd,2)-$Q72),MIN(0,SUM($CS72:CV72)+MIN(0,ROUND($R72*EFBPercent+EFBAdd,2)-$Q72))))</f>
        <v>0</v>
      </c>
      <c r="DF72" s="192">
        <f>IF(CX72&lt;0,0,MAX(-CX72,MIN(0,ROUND($R72*EFBPercent+EFBAdd,2)-$Q72),MIN(0,SUM($CS72:CW72)+MIN(0,ROUND($R72*EFBPercent+EFBAdd,2)-$Q72))))</f>
        <v>0</v>
      </c>
      <c r="DG72" s="192">
        <f>MAX(-CY72,MIN(0,ROUND($R72*EFBPercent+EFBAdd,2)-$Q72),MIN(0,SUM($CS72:CX72)+MIN(0,ROUND($R72*EFBPercent+EFBAdd,2)-$Q72)))</f>
        <v>0</v>
      </c>
      <c r="DI72" s="73">
        <f t="shared" si="80"/>
        <v>3735253.7500000005</v>
      </c>
      <c r="DJ72" s="73">
        <f t="shared" si="81"/>
        <v>129009.97</v>
      </c>
      <c r="DK72" s="73">
        <f t="shared" si="82"/>
        <v>0</v>
      </c>
      <c r="DL72" s="73">
        <f t="shared" si="83"/>
        <v>0</v>
      </c>
      <c r="DM72" s="73">
        <f t="shared" si="84"/>
        <v>0</v>
      </c>
      <c r="DN72" s="73">
        <f t="shared" si="85"/>
        <v>0</v>
      </c>
      <c r="DO72" s="73">
        <f t="shared" si="86"/>
        <v>0</v>
      </c>
      <c r="DP72" s="73"/>
      <c r="DQ72" s="73"/>
    </row>
    <row r="73" spans="1:121" ht="10.199999999999999" x14ac:dyDescent="0.2">
      <c r="A73" s="4" t="s">
        <v>551</v>
      </c>
      <c r="B73" s="188" t="s">
        <v>1086</v>
      </c>
      <c r="C73" s="189" t="s">
        <v>496</v>
      </c>
      <c r="D73" s="4">
        <v>2027</v>
      </c>
      <c r="E73" s="4" t="s">
        <v>495</v>
      </c>
      <c r="F73" s="4">
        <v>4</v>
      </c>
      <c r="G73" s="4" t="s">
        <v>668</v>
      </c>
      <c r="H73" s="4">
        <v>0</v>
      </c>
      <c r="I73" s="4" t="s">
        <v>854</v>
      </c>
      <c r="J73" s="5">
        <v>0</v>
      </c>
      <c r="K73" s="5">
        <v>0</v>
      </c>
      <c r="L73" s="5">
        <v>7.9</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f t="shared" si="94"/>
        <v>0</v>
      </c>
      <c r="AP73" s="5">
        <f t="shared" si="75"/>
        <v>0</v>
      </c>
      <c r="AQ73" s="5">
        <v>0</v>
      </c>
      <c r="AR73" s="5">
        <v>0</v>
      </c>
      <c r="AS73" s="5">
        <v>0</v>
      </c>
      <c r="AT73" s="5">
        <v>0</v>
      </c>
      <c r="AU73" s="5">
        <v>0</v>
      </c>
      <c r="AV73" s="5">
        <v>0</v>
      </c>
      <c r="AW73" s="199">
        <v>7.9</v>
      </c>
      <c r="AX73" s="199">
        <v>0</v>
      </c>
      <c r="AY73" s="199">
        <v>0</v>
      </c>
      <c r="AZ73" s="199">
        <v>0</v>
      </c>
      <c r="BA73" s="5">
        <v>0</v>
      </c>
      <c r="BB73" s="13">
        <v>0</v>
      </c>
      <c r="BC73" s="190">
        <f>MAX(ROUND(IF(F73&lt;4,IF(H73=0,(SUM(Y73:AD73)*Worksheet!$E$26+Y73*Worksheet!$E$27+AR73*Worksheet!$E$39)*-BaseRate,0)),2),MIN(0,-DI73))</f>
        <v>0</v>
      </c>
      <c r="BD73" s="190">
        <f>MAX(ROUND(IF(F73=4,0,IF(I73=0,0,ROUND(SUM(Y73:AD73)*Worksheet!$E$28,2)*-BaseRate)),2),MIN(0,-DI73-BC73))</f>
        <v>0</v>
      </c>
      <c r="BE73" s="130">
        <f t="shared" si="87"/>
        <v>0</v>
      </c>
      <c r="BF73" s="130">
        <f t="shared" si="88"/>
        <v>0</v>
      </c>
      <c r="BG73" s="73"/>
      <c r="BH73" s="191">
        <f t="shared" si="89"/>
        <v>0</v>
      </c>
      <c r="BI73" s="191">
        <f t="shared" si="90"/>
        <v>0</v>
      </c>
      <c r="BJ73" s="232">
        <f>IFERROR(ROUND(IF(AND(BB73*1.12&lt;N73*60/1000,N73/CL73&lt;STVPP*0.2),(CL73*STVPP*0.2*Worksheet!$F$88/1000-BB73*1.12)*PropTaxAdj,IF(BB73*1.12&lt;N73*60/1000,(N73*60/1000-BB73*1.12)*PropTaxAdj,0)),2),0)</f>
        <v>0</v>
      </c>
      <c r="BK73" s="192">
        <f>ROUND(IF($F73=4,0,Y73*Worksheet!$E$16),2)</f>
        <v>0</v>
      </c>
      <c r="BL73" s="192">
        <f>ROUND(IF($F73=4,0,Z73*Worksheet!$E$17),2)</f>
        <v>0</v>
      </c>
      <c r="BM73" s="192">
        <f>ROUND(IF($F73=4,0,AA73*Worksheet!$E$18),2)</f>
        <v>0</v>
      </c>
      <c r="BN73" s="192">
        <f>ROUND(IF($F73=4,0,AB73*Worksheet!$E$19),2)</f>
        <v>0</v>
      </c>
      <c r="BO73" s="192">
        <f>ROUND(IF($F73=4,0,AC73*Worksheet!$E$20),2)</f>
        <v>0</v>
      </c>
      <c r="BP73" s="192">
        <f>ROUND(AD73*Worksheet!$E$21,2)</f>
        <v>0</v>
      </c>
      <c r="BQ73" s="192">
        <f t="shared" si="76"/>
        <v>0</v>
      </c>
      <c r="BR73" s="192">
        <f>ROUND(AD73*Worksheet!$E$25,2)</f>
        <v>0</v>
      </c>
      <c r="BS73" s="192">
        <f>ROUND(SUM(BQ73)*Worksheet!$E$26,2)</f>
        <v>0</v>
      </c>
      <c r="BT73" s="192">
        <f>ROUND(Y73*Worksheet!$E$27,2)</f>
        <v>0</v>
      </c>
      <c r="BU73" s="192">
        <f>ROUND(AO73*Worksheet!$E$29,2)</f>
        <v>0</v>
      </c>
      <c r="BV73" s="192">
        <f>ROUND(AP73*Worksheet!$E$30,2)</f>
        <v>0</v>
      </c>
      <c r="BW73" s="192">
        <f>ROUND(IF($I73&lt;&gt;0,$BQ73*Worksheet!$E$28,0),2)</f>
        <v>0</v>
      </c>
      <c r="BX73" s="192">
        <f>ROUND(AE73*Worksheet!$E$31,2)</f>
        <v>0</v>
      </c>
      <c r="BY73" s="192">
        <f>ROUND(AF73*Worksheet!$E$32,2)</f>
        <v>0</v>
      </c>
      <c r="BZ73" s="192">
        <f>ROUND(AG73*Worksheet!$E$33,2)</f>
        <v>0</v>
      </c>
      <c r="CA73" s="192">
        <f>ROUND(ROUND(AH73*BQ73,2)*Worksheet!$E$34,2)</f>
        <v>0</v>
      </c>
      <c r="CB73" s="192">
        <f>ROUND(AI73*Worksheet!$E$35,2)</f>
        <v>0</v>
      </c>
      <c r="CC73" s="192">
        <f>ROUND(AJ73*Worksheet!$E$36,2)</f>
        <v>0</v>
      </c>
      <c r="CD73" s="192">
        <f>ROUND(AQ73*Worksheet!$E$38,2)</f>
        <v>0</v>
      </c>
      <c r="CE73" s="192">
        <f>ROUND(AR73*Worksheet!$E$39,2)</f>
        <v>0</v>
      </c>
      <c r="CF73" s="192">
        <f>IF(AND(L73&gt;275,SUM(Y73:AD73)&lt;100),ROUND(SUM(Y73:AD73)*Worksheet!$E$41,2),0)</f>
        <v>0</v>
      </c>
      <c r="CG73" s="192">
        <f>IF(AND(L73&gt;600,SUM(Y73:AD73)&lt;50),ROUND((50-SUM(Y73:AD73))*(Worksheet!$E$41+1),2),0)</f>
        <v>0</v>
      </c>
      <c r="CH73" s="192">
        <f t="shared" si="77"/>
        <v>0</v>
      </c>
      <c r="CI73" s="116">
        <f t="shared" si="95"/>
        <v>0</v>
      </c>
      <c r="CJ73" s="116">
        <f t="shared" si="96"/>
        <v>0</v>
      </c>
      <c r="CK73" s="95">
        <f t="shared" si="91"/>
        <v>0</v>
      </c>
      <c r="CL73" s="116">
        <f t="shared" si="97"/>
        <v>0</v>
      </c>
      <c r="CM73" s="116">
        <f t="shared" si="98"/>
        <v>0</v>
      </c>
      <c r="CN73" s="116">
        <f t="shared" si="92"/>
        <v>0</v>
      </c>
      <c r="CO73" s="131">
        <f>ROUND(IF(F73=4,0,(MAX(ROUND(MAX((BI73*MIN(CL73,K73)*Worksheet!$D$126)+MAX(CL73-K73,0)*Worksheet!$F$50,SUM(J73)),2),SUM(CN73))-SUM(CN73))*MinAdj),2)</f>
        <v>0</v>
      </c>
      <c r="CP73" s="192">
        <f t="shared" si="93"/>
        <v>0</v>
      </c>
      <c r="CQ73" s="131">
        <f>IF(CL73=0,0,-MIN(CP73,MIN(CP73,ROUND(IF(ROUND(IF(CL73=0,0,N73/CL73),2)&lt;STVPP*0.2,STVPP*0.2*CL73*Worksheet!$F$88/1000,N73*Worksheet!$F$88/1000),2))))</f>
        <v>0</v>
      </c>
      <c r="CR73" s="193">
        <f>-MIN(SUM(CP73,CQ73),IF($P73=0,(ROUND(Worksheet!$E$77*S73,2)+ROUND(Worksheet!$E$78*T73,2)+ROUND(Worksheet!$E$79*U73,2)+ROUND(Worksheet!$E$80*V73,2)+ROUND(Worksheet!$E$81*W73,2)+ROUND(Worksheet!$E$82*X73,2)),(ROUND(ROUND(S73*ROUND((1-$O73/$P73),4),2)*Worksheet!$E$77,2)+ROUND(ROUND(T73*ROUND((1-$O73/$P73),4),2)*Worksheet!$E$78,2)+ROUND(ROUND(U73*ROUND((1-$O73/$P73),4),2)*Worksheet!$E$79,2)+ROUND(ROUND(V73*ROUND((1-$O73/$P73),4),2)*Worksheet!$E$80,2)+ROUND(ROUND(W73*ROUND((1-$O73/$P73),4),2)*Worksheet!$E$81,2)+ROUND(ROUND(X73*ROUND((1-$O73/$P73),4),2)*Worksheet!$E$82,2))))</f>
        <v>0</v>
      </c>
      <c r="CS73" s="192">
        <f t="shared" si="78"/>
        <v>0</v>
      </c>
      <c r="CT73" s="116">
        <f>ROUND(MIN(BA73,ROUND((ROUND(AS73*Worksheet!$E$104,2)+ROUND(AV73*Worksheet!$E$107,2)+ROUND(AT73*Worksheet!$E$105,2)+ROUND(AW73*Worksheet!$E$108,2)+ROUND(AU73*Worksheet!$E$106,2)+ROUND(AX73*Worksheet!$E$109,2)+ROUND(AY73*Worksheet!$E$110,2)+ROUND(AZ73*Worksheet!$E$111,2))*Worksheet!$D$114,2))*BaseRate,2)</f>
        <v>0</v>
      </c>
      <c r="CU73" s="121">
        <v>0</v>
      </c>
      <c r="CV73" s="121">
        <v>0</v>
      </c>
      <c r="CW73" s="121">
        <v>0</v>
      </c>
      <c r="CX73" s="121">
        <v>0</v>
      </c>
      <c r="CY73" s="121">
        <v>0</v>
      </c>
      <c r="DA73" s="192">
        <f t="shared" si="79"/>
        <v>0</v>
      </c>
      <c r="DB73" s="192">
        <f>MAX(-CT73,MIN(0,ROUND($R73*EFBPercent+EFBAdd,2)-$Q73),MIN(0,SUM($CS73:CS73)+MIN(0,ROUND($R73*EFBPercent+EFBAdd,2)-$Q73)))</f>
        <v>0</v>
      </c>
      <c r="DC73" s="192">
        <f>IF(CU73&lt;0,0,MAX(-CU73,MIN(0,ROUND($R73*EFBPercent+EFBAdd,2)-$Q73),MIN(0,SUM($CS73:CT73)+MIN(0,ROUND($R73*EFBPercent+EFBAdd,2)-$Q73))))</f>
        <v>0</v>
      </c>
      <c r="DD73" s="192">
        <f>IF(CV73&lt;0,0,MAX(-CV73,MIN(0,ROUND($R73*EFBPercent+EFBAdd,2)-$Q73),MIN(0,SUM($CS73:CU73)+MIN(0,ROUND($R73*EFBPercent+EFBAdd,2)-$Q73))))</f>
        <v>0</v>
      </c>
      <c r="DE73" s="192">
        <f>IF(CW73&lt;0,0,MAX(-CW73,MIN(0,ROUND($R73*EFBPercent+EFBAdd,2)-$Q73),MIN(0,SUM($CS73:CV73)+MIN(0,ROUND($R73*EFBPercent+EFBAdd,2)-$Q73))))</f>
        <v>0</v>
      </c>
      <c r="DF73" s="192">
        <f>IF(CX73&lt;0,0,MAX(-CX73,MIN(0,ROUND($R73*EFBPercent+EFBAdd,2)-$Q73),MIN(0,SUM($CS73:CW73)+MIN(0,ROUND($R73*EFBPercent+EFBAdd,2)-$Q73))))</f>
        <v>0</v>
      </c>
      <c r="DG73" s="192">
        <f>MAX(-CY73,MIN(0,ROUND($R73*EFBPercent+EFBAdd,2)-$Q73),MIN(0,SUM($CS73:CX73)+MIN(0,ROUND($R73*EFBPercent+EFBAdd,2)-$Q73)))</f>
        <v>0</v>
      </c>
      <c r="DI73" s="73">
        <f t="shared" si="80"/>
        <v>0</v>
      </c>
      <c r="DJ73" s="73">
        <f t="shared" si="81"/>
        <v>0</v>
      </c>
      <c r="DK73" s="73">
        <f t="shared" si="82"/>
        <v>0</v>
      </c>
      <c r="DL73" s="73">
        <f t="shared" si="83"/>
        <v>0</v>
      </c>
      <c r="DM73" s="73">
        <f t="shared" si="84"/>
        <v>0</v>
      </c>
      <c r="DN73" s="73">
        <f t="shared" si="85"/>
        <v>0</v>
      </c>
      <c r="DO73" s="73">
        <f t="shared" si="86"/>
        <v>0</v>
      </c>
      <c r="DP73" s="73"/>
      <c r="DQ73" s="73"/>
    </row>
    <row r="74" spans="1:121" ht="10.199999999999999" x14ac:dyDescent="0.2">
      <c r="A74" s="4" t="s">
        <v>854</v>
      </c>
      <c r="B74" s="188">
        <v>1406</v>
      </c>
      <c r="C74" s="189" t="s">
        <v>812</v>
      </c>
      <c r="D74" s="4">
        <v>2027</v>
      </c>
      <c r="E74" s="4" t="s">
        <v>696</v>
      </c>
      <c r="F74" s="4">
        <v>0</v>
      </c>
      <c r="G74" s="4" t="s">
        <v>968</v>
      </c>
      <c r="H74" s="4">
        <v>0</v>
      </c>
      <c r="I74" s="4">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f t="shared" si="94"/>
        <v>0</v>
      </c>
      <c r="AP74" s="5">
        <v>0</v>
      </c>
      <c r="AQ74" s="5">
        <v>0</v>
      </c>
      <c r="AR74" s="5">
        <v>0</v>
      </c>
      <c r="AS74" s="5">
        <v>0</v>
      </c>
      <c r="AT74" s="5">
        <v>0</v>
      </c>
      <c r="AU74" s="5">
        <v>0</v>
      </c>
      <c r="AV74" s="5">
        <v>0</v>
      </c>
      <c r="AW74" s="199">
        <v>0</v>
      </c>
      <c r="AX74" s="199">
        <v>0</v>
      </c>
      <c r="AY74" s="199">
        <v>0</v>
      </c>
      <c r="AZ74" s="199">
        <v>0</v>
      </c>
      <c r="BA74" s="5">
        <v>0</v>
      </c>
      <c r="BB74" s="13">
        <v>0</v>
      </c>
      <c r="BC74" s="190">
        <f>MAX(ROUND(IF(F74&lt;4,IF(H74=0,(SUM(Y74:AD74)*Worksheet!$E$26+Y74*Worksheet!$E$27+AR74*Worksheet!$E$39)*-BaseRate,0)),2),MIN(0,-DI74))</f>
        <v>0</v>
      </c>
      <c r="BD74" s="190">
        <f>MAX(ROUND(IF(F74=4,0,IF(I74=0,0,ROUND(SUM(Y74:AD74)*Worksheet!$E$28,2)*-BaseRate)),2),MIN(0,-DI74-BC74))</f>
        <v>0</v>
      </c>
      <c r="BE74" s="130">
        <f t="shared" si="87"/>
        <v>0</v>
      </c>
      <c r="BF74" s="130">
        <f t="shared" si="88"/>
        <v>0</v>
      </c>
      <c r="BG74" s="73"/>
      <c r="BH74" s="191">
        <f t="shared" si="89"/>
        <v>0</v>
      </c>
      <c r="BI74" s="191">
        <f t="shared" si="90"/>
        <v>0</v>
      </c>
      <c r="BJ74" s="232">
        <f>IFERROR(ROUND(IF(AND(BB74*1.12&lt;N74*60/1000,N74/CL74&lt;STVPP*0.2),(CL74*STVPP*0.2*Worksheet!$F$88/1000-BB74*1.12)*PropTaxAdj,IF(BB74*1.12&lt;N74*60/1000,(N74*60/1000-BB74*1.12)*PropTaxAdj,0)),2),0)</f>
        <v>0</v>
      </c>
      <c r="BK74" s="192">
        <f>ROUND(IF($F74=4,0,Y74*Worksheet!$E$16),2)</f>
        <v>0</v>
      </c>
      <c r="BL74" s="192">
        <f>ROUND(IF($F74=4,0,Z74*Worksheet!$E$17),2)</f>
        <v>0</v>
      </c>
      <c r="BM74" s="192">
        <f>ROUND(IF($F74=4,0,AA74*Worksheet!$E$18),2)</f>
        <v>0</v>
      </c>
      <c r="BN74" s="192">
        <f>ROUND(IF($F74=4,0,AB74*Worksheet!$E$19),2)</f>
        <v>0</v>
      </c>
      <c r="BO74" s="192">
        <f>ROUND(IF($F74=4,0,AC74*Worksheet!$E$20),2)</f>
        <v>0</v>
      </c>
      <c r="BP74" s="192">
        <f>ROUND(AD74*Worksheet!$E$21,2)</f>
        <v>0</v>
      </c>
      <c r="BQ74" s="192">
        <f t="shared" si="76"/>
        <v>0</v>
      </c>
      <c r="BR74" s="192">
        <f>ROUND(AD74*Worksheet!$E$25,2)</f>
        <v>0</v>
      </c>
      <c r="BS74" s="192">
        <f>ROUND(SUM(BQ74)*Worksheet!$E$26,2)</f>
        <v>0</v>
      </c>
      <c r="BT74" s="192">
        <f>ROUND(Y74*Worksheet!$E$27,2)</f>
        <v>0</v>
      </c>
      <c r="BU74" s="192">
        <f>ROUND(AO74*Worksheet!$E$29,2)</f>
        <v>0</v>
      </c>
      <c r="BV74" s="192">
        <f>ROUND(AP74*Worksheet!$E$30,2)</f>
        <v>0</v>
      </c>
      <c r="BW74" s="192">
        <f>ROUND(IF($I74&lt;&gt;0,$BQ74*Worksheet!$E$28,0),2)</f>
        <v>0</v>
      </c>
      <c r="BX74" s="192">
        <f>ROUND(AE74*Worksheet!$E$31,2)</f>
        <v>0</v>
      </c>
      <c r="BY74" s="192">
        <f>ROUND(AF74*Worksheet!$E$32,2)</f>
        <v>0</v>
      </c>
      <c r="BZ74" s="192">
        <f>ROUND(AG74*Worksheet!$E$33,2)</f>
        <v>0</v>
      </c>
      <c r="CA74" s="192">
        <f>ROUND(ROUND(AH74*BQ74,2)*Worksheet!$E$34,2)</f>
        <v>0</v>
      </c>
      <c r="CB74" s="192">
        <f>ROUND(AI74*Worksheet!$E$35,2)</f>
        <v>0</v>
      </c>
      <c r="CC74" s="192">
        <f>ROUND(AJ74*Worksheet!$E$36,2)</f>
        <v>0</v>
      </c>
      <c r="CD74" s="192">
        <f>ROUND(AQ74*Worksheet!$E$38,2)</f>
        <v>0</v>
      </c>
      <c r="CE74" s="192">
        <f>ROUND(AR74*Worksheet!$E$39,2)</f>
        <v>0</v>
      </c>
      <c r="CF74" s="192">
        <f>IF(AND(L74&gt;275,SUM(Y74:AD74)&lt;100),ROUND(SUM(Y74:AD74)*Worksheet!$E$41,2),0)</f>
        <v>0</v>
      </c>
      <c r="CG74" s="192">
        <f>IF(AND(L74&gt;600,SUM(Y74:AD74)&lt;50),ROUND((50-SUM(Y74:AD74))*(Worksheet!$E$41+1),2),0)</f>
        <v>0</v>
      </c>
      <c r="CH74" s="192">
        <f t="shared" si="77"/>
        <v>0</v>
      </c>
      <c r="CI74" s="116">
        <f t="shared" si="95"/>
        <v>0</v>
      </c>
      <c r="CJ74" s="116">
        <f t="shared" si="96"/>
        <v>0</v>
      </c>
      <c r="CK74" s="95">
        <f t="shared" si="91"/>
        <v>0</v>
      </c>
      <c r="CL74" s="116">
        <f t="shared" si="97"/>
        <v>0</v>
      </c>
      <c r="CM74" s="116">
        <f t="shared" si="98"/>
        <v>0</v>
      </c>
      <c r="CN74" s="116">
        <f t="shared" si="92"/>
        <v>0</v>
      </c>
      <c r="CO74" s="131">
        <f>ROUND(IF(F74=4,0,(MAX(ROUND(MAX((BI74*MIN(CL74,K74)*Worksheet!$D$126)+MAX(CL74-K74,0)*Worksheet!$F$50,SUM(J74)),2),SUM(CN74))-SUM(CN74))*MinAdj),2)</f>
        <v>0</v>
      </c>
      <c r="CP74" s="192">
        <f t="shared" si="93"/>
        <v>0</v>
      </c>
      <c r="CQ74" s="131">
        <f>IF(CL74=0,0,-MIN(CP74,MIN(CP74,ROUND(IF(ROUND(IF(CL74=0,0,N74/CL74),2)&lt;STVPP*0.2,STVPP*0.2*CL74*Worksheet!$F$88/1000,N74*Worksheet!$F$88/1000),2))))</f>
        <v>0</v>
      </c>
      <c r="CR74" s="193">
        <f>-MIN(SUM(CP74,CQ74),IF($P74=0,(ROUND(Worksheet!$E$77*S74,2)+ROUND(Worksheet!$E$78*T74,2)+ROUND(Worksheet!$E$79*U74,2)+ROUND(Worksheet!$E$80*V74,2)+ROUND(Worksheet!$E$81*W74,2)+ROUND(Worksheet!$E$82*X74,2)),(ROUND(ROUND(S74*ROUND((1-$O74/$P74),4),2)*Worksheet!$E$77,2)+ROUND(ROUND(T74*ROUND((1-$O74/$P74),4),2)*Worksheet!$E$78,2)+ROUND(ROUND(U74*ROUND((1-$O74/$P74),4),2)*Worksheet!$E$79,2)+ROUND(ROUND(V74*ROUND((1-$O74/$P74),4),2)*Worksheet!$E$80,2)+ROUND(ROUND(W74*ROUND((1-$O74/$P74),4),2)*Worksheet!$E$81,2)+ROUND(ROUND(X74*ROUND((1-$O74/$P74),4),2)*Worksheet!$E$82,2))))</f>
        <v>0</v>
      </c>
      <c r="CS74" s="192">
        <f t="shared" si="78"/>
        <v>0</v>
      </c>
      <c r="CT74" s="116">
        <f>ROUND(MIN(BA74,ROUND((ROUND(AS74*Worksheet!$E$104,2)+ROUND(AV74*Worksheet!$E$107,2)+ROUND(AT74*Worksheet!$E$105,2)+ROUND(AW74*Worksheet!$E$108,2)+ROUND(AU74*Worksheet!$E$106,2)+ROUND(AX74*Worksheet!$E$109,2)+ROUND(AY74*Worksheet!$E$110,2)+ROUND(AZ74*Worksheet!$E$111,2))*Worksheet!$D$114,2))*BaseRate,2)</f>
        <v>0</v>
      </c>
      <c r="CU74" s="121">
        <v>0</v>
      </c>
      <c r="CV74" s="121">
        <v>0</v>
      </c>
      <c r="CW74" s="121">
        <v>0</v>
      </c>
      <c r="CX74" s="121">
        <v>0</v>
      </c>
      <c r="CY74" s="121">
        <v>0</v>
      </c>
      <c r="DA74" s="192">
        <f t="shared" si="79"/>
        <v>0</v>
      </c>
      <c r="DB74" s="192">
        <f>MAX(-CT74,MIN(0,ROUND($R74*EFBPercent+EFBAdd,2)-$Q74),MIN(0,SUM($CS74:CS74)+MIN(0,ROUND($R74*EFBPercent+EFBAdd,2)-$Q74)))</f>
        <v>0</v>
      </c>
      <c r="DC74" s="192">
        <f>IF(CU74&lt;0,0,MAX(-CU74,MIN(0,ROUND($R74*EFBPercent+EFBAdd,2)-$Q74),MIN(0,SUM($CS74:CT74)+MIN(0,ROUND($R74*EFBPercent+EFBAdd,2)-$Q74))))</f>
        <v>0</v>
      </c>
      <c r="DD74" s="192">
        <f>IF(CV74&lt;0,0,MAX(-CV74,MIN(0,ROUND($R74*EFBPercent+EFBAdd,2)-$Q74),MIN(0,SUM($CS74:CU74)+MIN(0,ROUND($R74*EFBPercent+EFBAdd,2)-$Q74))))</f>
        <v>0</v>
      </c>
      <c r="DE74" s="192">
        <f>IF(CW74&lt;0,0,MAX(-CW74,MIN(0,ROUND($R74*EFBPercent+EFBAdd,2)-$Q74),MIN(0,SUM($CS74:CV74)+MIN(0,ROUND($R74*EFBPercent+EFBAdd,2)-$Q74))))</f>
        <v>0</v>
      </c>
      <c r="DF74" s="192">
        <f>IF(CX74&lt;0,0,MAX(-CX74,MIN(0,ROUND($R74*EFBPercent+EFBAdd,2)-$Q74),MIN(0,SUM($CS74:CW74)+MIN(0,ROUND($R74*EFBPercent+EFBAdd,2)-$Q74))))</f>
        <v>0</v>
      </c>
      <c r="DG74" s="192">
        <f>MAX(-CY74,MIN(0,ROUND($R74*EFBPercent+EFBAdd,2)-$Q74),MIN(0,SUM($CS74:CX74)+MIN(0,ROUND($R74*EFBPercent+EFBAdd,2)-$Q74)))</f>
        <v>0</v>
      </c>
      <c r="DI74" s="73">
        <f t="shared" si="80"/>
        <v>0</v>
      </c>
      <c r="DJ74" s="73">
        <f t="shared" si="81"/>
        <v>0</v>
      </c>
      <c r="DK74" s="73">
        <f t="shared" si="82"/>
        <v>0</v>
      </c>
      <c r="DL74" s="73">
        <f t="shared" si="83"/>
        <v>0</v>
      </c>
      <c r="DM74" s="73">
        <f t="shared" si="84"/>
        <v>0</v>
      </c>
      <c r="DN74" s="73">
        <f t="shared" si="85"/>
        <v>0</v>
      </c>
      <c r="DO74" s="73">
        <f t="shared" si="86"/>
        <v>0</v>
      </c>
      <c r="DP74" s="73"/>
      <c r="DQ74" s="73"/>
    </row>
    <row r="75" spans="1:121" ht="10.199999999999999" x14ac:dyDescent="0.2">
      <c r="A75" s="4" t="s">
        <v>668</v>
      </c>
      <c r="B75" s="188">
        <v>2509</v>
      </c>
      <c r="C75" s="189" t="s">
        <v>187</v>
      </c>
      <c r="D75" s="4">
        <v>2027</v>
      </c>
      <c r="E75" s="4" t="s">
        <v>1037</v>
      </c>
      <c r="F75" s="4">
        <v>7</v>
      </c>
      <c r="G75" s="4" t="s">
        <v>668</v>
      </c>
      <c r="H75" s="4">
        <v>0</v>
      </c>
      <c r="I75" s="4">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f t="shared" si="94"/>
        <v>0</v>
      </c>
      <c r="AP75" s="5">
        <v>0</v>
      </c>
      <c r="AQ75" s="5">
        <v>0</v>
      </c>
      <c r="AR75" s="5">
        <v>0</v>
      </c>
      <c r="AS75" s="5">
        <v>0</v>
      </c>
      <c r="AT75" s="5">
        <v>0</v>
      </c>
      <c r="AU75" s="5">
        <v>0</v>
      </c>
      <c r="AV75" s="5">
        <v>0</v>
      </c>
      <c r="AW75" s="199">
        <v>0</v>
      </c>
      <c r="AX75" s="199">
        <v>0</v>
      </c>
      <c r="AY75" s="199">
        <v>0</v>
      </c>
      <c r="AZ75" s="199">
        <v>0</v>
      </c>
      <c r="BA75" s="5">
        <v>0</v>
      </c>
      <c r="BB75" s="13">
        <v>0</v>
      </c>
      <c r="BC75" s="190">
        <f>MAX(ROUND(IF(F75&lt;4,IF(H75=0,(SUM(Y75:AD75)*Worksheet!$E$26+Y75*Worksheet!$E$27+AR75*Worksheet!$E$39)*-BaseRate,0)),2),MIN(0,-DI75))</f>
        <v>0</v>
      </c>
      <c r="BD75" s="190">
        <f>MAX(ROUND(IF(F75=4,0,IF(I75=0,0,ROUND(SUM(Y75:AD75)*Worksheet!$E$28,2)*-BaseRate)),2),MIN(0,-DI75-BC75))</f>
        <v>0</v>
      </c>
      <c r="BE75" s="130">
        <f t="shared" si="87"/>
        <v>0</v>
      </c>
      <c r="BF75" s="130">
        <f t="shared" si="88"/>
        <v>0</v>
      </c>
      <c r="BG75" s="73"/>
      <c r="BH75" s="191">
        <f t="shared" si="89"/>
        <v>0</v>
      </c>
      <c r="BI75" s="191">
        <f t="shared" si="90"/>
        <v>0</v>
      </c>
      <c r="BJ75" s="232">
        <f>IFERROR(ROUND(IF(AND(BB75*1.12&lt;N75*60/1000,N75/CL75&lt;STVPP*0.2),(CL75*STVPP*0.2*Worksheet!$F$88/1000-BB75*1.12)*PropTaxAdj,IF(BB75*1.12&lt;N75*60/1000,(N75*60/1000-BB75*1.12)*PropTaxAdj,0)),2),0)</f>
        <v>0</v>
      </c>
      <c r="BK75" s="192">
        <f>ROUND(IF($F75=4,0,Y75*Worksheet!$E$16),2)</f>
        <v>0</v>
      </c>
      <c r="BL75" s="192">
        <f>ROUND(IF($F75=4,0,Z75*Worksheet!$E$17),2)</f>
        <v>0</v>
      </c>
      <c r="BM75" s="192">
        <f>ROUND(IF($F75=4,0,AA75*Worksheet!$E$18),2)</f>
        <v>0</v>
      </c>
      <c r="BN75" s="192">
        <f>ROUND(IF($F75=4,0,AB75*Worksheet!$E$19),2)</f>
        <v>0</v>
      </c>
      <c r="BO75" s="192">
        <f>ROUND(IF($F75=4,0,AC75*Worksheet!$E$20),2)</f>
        <v>0</v>
      </c>
      <c r="BP75" s="192">
        <f>ROUND(AD75*Worksheet!$E$21,2)</f>
        <v>0</v>
      </c>
      <c r="BQ75" s="192">
        <f t="shared" si="76"/>
        <v>0</v>
      </c>
      <c r="BR75" s="192">
        <f>ROUND(AD75*Worksheet!$E$25,2)</f>
        <v>0</v>
      </c>
      <c r="BS75" s="192">
        <f>ROUND(SUM(BQ75)*Worksheet!$E$26,2)</f>
        <v>0</v>
      </c>
      <c r="BT75" s="192">
        <f>ROUND(Y75*Worksheet!$E$27,2)</f>
        <v>0</v>
      </c>
      <c r="BU75" s="192">
        <f>ROUND(AO75*Worksheet!$E$29,2)</f>
        <v>0</v>
      </c>
      <c r="BV75" s="192">
        <f>ROUND(AP75*Worksheet!$E$30,2)</f>
        <v>0</v>
      </c>
      <c r="BW75" s="192">
        <f>ROUND(IF($I75&lt;&gt;0,$BQ75*Worksheet!$E$28,0),2)</f>
        <v>0</v>
      </c>
      <c r="BX75" s="192">
        <f>ROUND(AE75*Worksheet!$E$31,2)</f>
        <v>0</v>
      </c>
      <c r="BY75" s="192">
        <f>ROUND(AF75*Worksheet!$E$32,2)</f>
        <v>0</v>
      </c>
      <c r="BZ75" s="192">
        <f>ROUND(AG75*Worksheet!$E$33,2)</f>
        <v>0</v>
      </c>
      <c r="CA75" s="192">
        <f>ROUND(ROUND(AH75*BQ75,2)*Worksheet!$E$34,2)</f>
        <v>0</v>
      </c>
      <c r="CB75" s="192">
        <f>ROUND(AI75*Worksheet!$E$35,2)</f>
        <v>0</v>
      </c>
      <c r="CC75" s="192">
        <f>ROUND(AJ75*Worksheet!$E$36,2)</f>
        <v>0</v>
      </c>
      <c r="CD75" s="192">
        <f>ROUND(AQ75*Worksheet!$E$38,2)</f>
        <v>0</v>
      </c>
      <c r="CE75" s="192">
        <f>ROUND(AR75*Worksheet!$E$39,2)</f>
        <v>0</v>
      </c>
      <c r="CF75" s="192">
        <f>IF(AND(L75&gt;275,SUM(Y75:AD75)&lt;100),ROUND(SUM(Y75:AD75)*Worksheet!$E$41,2),0)</f>
        <v>0</v>
      </c>
      <c r="CG75" s="192">
        <f>IF(AND(L75&gt;600,SUM(Y75:AD75)&lt;50),ROUND((50-SUM(Y75:AD75))*(Worksheet!$E$41+1),2),0)</f>
        <v>0</v>
      </c>
      <c r="CH75" s="192">
        <f t="shared" si="77"/>
        <v>0</v>
      </c>
      <c r="CI75" s="116">
        <f t="shared" si="95"/>
        <v>0</v>
      </c>
      <c r="CJ75" s="116">
        <f t="shared" si="96"/>
        <v>0</v>
      </c>
      <c r="CK75" s="95">
        <f t="shared" si="91"/>
        <v>0</v>
      </c>
      <c r="CL75" s="116">
        <f t="shared" si="97"/>
        <v>0</v>
      </c>
      <c r="CM75" s="116">
        <f t="shared" si="98"/>
        <v>0</v>
      </c>
      <c r="CN75" s="116">
        <f t="shared" si="92"/>
        <v>0</v>
      </c>
      <c r="CO75" s="131">
        <f>ROUND(IF(F75=4,0,(MAX(ROUND(MAX((BI75*MIN(CL75,K75)*Worksheet!$D$126)+MAX(CL75-K75,0)*Worksheet!$F$50,SUM(J75)),2),SUM(CN75))-SUM(CN75))*MinAdj),2)</f>
        <v>0</v>
      </c>
      <c r="CP75" s="192">
        <f t="shared" si="93"/>
        <v>0</v>
      </c>
      <c r="CQ75" s="131">
        <f>IF(CL75=0,0,-MIN(CP75,MIN(CP75,ROUND(IF(ROUND(IF(CL75=0,0,N75/CL75),2)&lt;STVPP*0.2,STVPP*0.2*CL75*Worksheet!$F$88/1000,N75*Worksheet!$F$88/1000),2))))</f>
        <v>0</v>
      </c>
      <c r="CR75" s="193">
        <f>-MIN(SUM(CP75,CQ75),IF($P75=0,(ROUND(Worksheet!$E$77*S75,2)+ROUND(Worksheet!$E$78*T75,2)+ROUND(Worksheet!$E$79*U75,2)+ROUND(Worksheet!$E$80*V75,2)+ROUND(Worksheet!$E$81*W75,2)+ROUND(Worksheet!$E$82*X75,2)),(ROUND(ROUND(S75*ROUND((1-$O75/$P75),4),2)*Worksheet!$E$77,2)+ROUND(ROUND(T75*ROUND((1-$O75/$P75),4),2)*Worksheet!$E$78,2)+ROUND(ROUND(U75*ROUND((1-$O75/$P75),4),2)*Worksheet!$E$79,2)+ROUND(ROUND(V75*ROUND((1-$O75/$P75),4),2)*Worksheet!$E$80,2)+ROUND(ROUND(W75*ROUND((1-$O75/$P75),4),2)*Worksheet!$E$81,2)+ROUND(ROUND(X75*ROUND((1-$O75/$P75),4),2)*Worksheet!$E$82,2))))</f>
        <v>0</v>
      </c>
      <c r="CS75" s="192">
        <f t="shared" si="78"/>
        <v>0</v>
      </c>
      <c r="CT75" s="116">
        <f>ROUND(MIN(BA75,ROUND((ROUND(AS75*Worksheet!$E$104,2)+ROUND(AV75*Worksheet!$E$107,2)+ROUND(AT75*Worksheet!$E$105,2)+ROUND(AW75*Worksheet!$E$108,2)+ROUND(AU75*Worksheet!$E$106,2)+ROUND(AX75*Worksheet!$E$109,2)+ROUND(AY75*Worksheet!$E$110,2)+ROUND(AZ75*Worksheet!$E$111,2))*Worksheet!$D$114,2))*BaseRate,2)</f>
        <v>0</v>
      </c>
      <c r="CU75" s="121">
        <v>0</v>
      </c>
      <c r="CV75" s="121">
        <v>77799.149999999994</v>
      </c>
      <c r="CW75" s="121">
        <v>0</v>
      </c>
      <c r="CX75" s="121">
        <v>0</v>
      </c>
      <c r="CY75" s="121">
        <v>0</v>
      </c>
      <c r="DA75" s="192">
        <f t="shared" si="79"/>
        <v>0</v>
      </c>
      <c r="DB75" s="192">
        <f>MAX(-CT75,MIN(0,ROUND($R75*EFBPercent+EFBAdd,2)-$Q75),MIN(0,SUM($CS75:CS75)+MIN(0,ROUND($R75*EFBPercent+EFBAdd,2)-$Q75)))</f>
        <v>0</v>
      </c>
      <c r="DC75" s="192">
        <f>IF(CU75&lt;0,0,MAX(-CU75,MIN(0,ROUND($R75*EFBPercent+EFBAdd,2)-$Q75),MIN(0,SUM($CS75:CT75)+MIN(0,ROUND($R75*EFBPercent+EFBAdd,2)-$Q75))))</f>
        <v>0</v>
      </c>
      <c r="DD75" s="192">
        <f>IF(CV75&lt;0,0,MAX(-CV75,MIN(0,ROUND($R75*EFBPercent+EFBAdd,2)-$Q75),MIN(0,SUM($CS75:CU75)+MIN(0,ROUND($R75*EFBPercent+EFBAdd,2)-$Q75))))</f>
        <v>0</v>
      </c>
      <c r="DE75" s="192">
        <f>IF(CW75&lt;0,0,MAX(-CW75,MIN(0,ROUND($R75*EFBPercent+EFBAdd,2)-$Q75),MIN(0,SUM($CS75:CV75)+MIN(0,ROUND($R75*EFBPercent+EFBAdd,2)-$Q75))))</f>
        <v>0</v>
      </c>
      <c r="DF75" s="192">
        <f>IF(CX75&lt;0,0,MAX(-CX75,MIN(0,ROUND($R75*EFBPercent+EFBAdd,2)-$Q75),MIN(0,SUM($CS75:CW75)+MIN(0,ROUND($R75*EFBPercent+EFBAdd,2)-$Q75))))</f>
        <v>0</v>
      </c>
      <c r="DG75" s="192">
        <f>MAX(-CY75,MIN(0,ROUND($R75*EFBPercent+EFBAdd,2)-$Q75),MIN(0,SUM($CS75:CX75)+MIN(0,ROUND($R75*EFBPercent+EFBAdd,2)-$Q75)))</f>
        <v>0</v>
      </c>
      <c r="DI75" s="73">
        <f t="shared" si="80"/>
        <v>0</v>
      </c>
      <c r="DJ75" s="73">
        <f t="shared" si="81"/>
        <v>0</v>
      </c>
      <c r="DK75" s="73">
        <f t="shared" si="82"/>
        <v>0</v>
      </c>
      <c r="DL75" s="73">
        <f t="shared" si="83"/>
        <v>77799.149999999994</v>
      </c>
      <c r="DM75" s="73">
        <f t="shared" si="84"/>
        <v>0</v>
      </c>
      <c r="DN75" s="73">
        <f t="shared" si="85"/>
        <v>0</v>
      </c>
      <c r="DO75" s="73">
        <f t="shared" si="86"/>
        <v>0</v>
      </c>
      <c r="DP75" s="73"/>
      <c r="DQ75" s="73"/>
    </row>
    <row r="76" spans="1:121" ht="10.199999999999999" x14ac:dyDescent="0.2">
      <c r="A76" s="4" t="s">
        <v>552</v>
      </c>
      <c r="B76" s="188">
        <v>1139</v>
      </c>
      <c r="C76" s="189" t="s">
        <v>78</v>
      </c>
      <c r="D76" s="4">
        <v>2027</v>
      </c>
      <c r="E76" s="4" t="s">
        <v>394</v>
      </c>
      <c r="F76" s="4">
        <v>2</v>
      </c>
      <c r="G76" s="4" t="s">
        <v>669</v>
      </c>
      <c r="H76" s="4">
        <v>0</v>
      </c>
      <c r="I76" s="4" t="s">
        <v>1091</v>
      </c>
      <c r="J76" s="5">
        <v>1200743.68</v>
      </c>
      <c r="K76" s="5">
        <v>73.239999999999995</v>
      </c>
      <c r="L76" s="5">
        <v>471.11</v>
      </c>
      <c r="M76" s="5">
        <v>0</v>
      </c>
      <c r="N76" s="5">
        <v>6449418</v>
      </c>
      <c r="O76" s="5">
        <v>0</v>
      </c>
      <c r="P76" s="5">
        <v>85.99</v>
      </c>
      <c r="Q76" s="5">
        <v>0</v>
      </c>
      <c r="R76" s="5">
        <v>0</v>
      </c>
      <c r="S76" s="5">
        <v>0</v>
      </c>
      <c r="T76" s="5">
        <v>0</v>
      </c>
      <c r="U76" s="5">
        <v>0</v>
      </c>
      <c r="V76" s="5">
        <v>4189.17</v>
      </c>
      <c r="W76" s="5">
        <v>1510.12</v>
      </c>
      <c r="X76" s="5">
        <v>16268.83</v>
      </c>
      <c r="Y76" s="5">
        <v>0.63</v>
      </c>
      <c r="Z76" s="5">
        <v>5</v>
      </c>
      <c r="AA76" s="5">
        <v>44</v>
      </c>
      <c r="AB76" s="5">
        <v>12</v>
      </c>
      <c r="AC76" s="5">
        <v>0</v>
      </c>
      <c r="AD76" s="5">
        <v>0</v>
      </c>
      <c r="AE76" s="5">
        <v>0</v>
      </c>
      <c r="AF76" s="5">
        <v>0</v>
      </c>
      <c r="AG76" s="5">
        <v>0</v>
      </c>
      <c r="AH76" s="5">
        <v>0.312</v>
      </c>
      <c r="AI76" s="5">
        <v>0</v>
      </c>
      <c r="AJ76" s="5">
        <v>0</v>
      </c>
      <c r="AK76" s="5">
        <v>0</v>
      </c>
      <c r="AL76" s="5">
        <v>61.66</v>
      </c>
      <c r="AM76" s="5">
        <v>0</v>
      </c>
      <c r="AN76" s="5">
        <v>61</v>
      </c>
      <c r="AO76" s="5">
        <f t="shared" si="94"/>
        <v>0.65999999999999659</v>
      </c>
      <c r="AP76" s="5">
        <f t="shared" ref="AP76:AP81" si="99">IF(AM76&gt;0,SUM(Z76:AD76)-AN76,0)</f>
        <v>0</v>
      </c>
      <c r="AQ76" s="5">
        <v>0</v>
      </c>
      <c r="AR76" s="5">
        <v>0</v>
      </c>
      <c r="AS76" s="5">
        <v>12212</v>
      </c>
      <c r="AT76" s="5">
        <v>62264</v>
      </c>
      <c r="AU76" s="5">
        <v>688</v>
      </c>
      <c r="AV76" s="5">
        <v>1376</v>
      </c>
      <c r="AW76" s="199">
        <v>471.11</v>
      </c>
      <c r="AX76" s="199">
        <v>1</v>
      </c>
      <c r="AY76" s="199">
        <v>0</v>
      </c>
      <c r="AZ76" s="199">
        <v>0</v>
      </c>
      <c r="BA76" s="5">
        <v>224913.71</v>
      </c>
      <c r="BB76" s="13">
        <v>382554.06</v>
      </c>
      <c r="BC76" s="190">
        <f>MAX(ROUND(IF(F76&lt;4,IF(H76=0,(SUM(Y76:AD76)*Worksheet!$E$26+Y76*Worksheet!$E$27+AR76*Worksheet!$E$39)*-BaseRate,0)),2),MIN(0,-DI76))</f>
        <v>-64336.77</v>
      </c>
      <c r="BD76" s="190">
        <f>MAX(ROUND(IF(F76=4,0,IF(I76=0,0,ROUND(SUM(Y76:AD76)*Worksheet!$E$28,2)*-BaseRate)),2),MIN(0,-DI76-BC76))</f>
        <v>-1395.96</v>
      </c>
      <c r="BE76" s="130">
        <f t="shared" si="87"/>
        <v>2526</v>
      </c>
      <c r="BF76" s="130">
        <f t="shared" si="88"/>
        <v>1403</v>
      </c>
      <c r="BG76" s="73"/>
      <c r="BH76" s="191">
        <f t="shared" si="89"/>
        <v>51781.760000000002</v>
      </c>
      <c r="BI76" s="191">
        <f t="shared" si="90"/>
        <v>16394.64</v>
      </c>
      <c r="BJ76" s="232">
        <f>IFERROR(ROUND(IF(AND(BB76*1.12&lt;N76*60/1000,N76/CL76&lt;STVPP*0.2),(CL76*STVPP*0.2*Worksheet!$F$88/1000-BB76*1.12)*PropTaxAdj,IF(BB76*1.12&lt;N76*60/1000,(N76*60/1000-BB76*1.12)*PropTaxAdj,0)),2),0)</f>
        <v>0</v>
      </c>
      <c r="BK76" s="192">
        <f>ROUND(IF($F76=4,0,Y76*Worksheet!$E$16),2)</f>
        <v>0.63</v>
      </c>
      <c r="BL76" s="192">
        <f>ROUND(IF($F76=4,0,Z76*Worksheet!$E$17),2)</f>
        <v>5</v>
      </c>
      <c r="BM76" s="192">
        <f>ROUND(IF($F76=4,0,AA76*Worksheet!$E$18),2)</f>
        <v>44</v>
      </c>
      <c r="BN76" s="192">
        <f>ROUND(IF($F76=4,0,AB76*Worksheet!$E$19),2)</f>
        <v>12</v>
      </c>
      <c r="BO76" s="192">
        <f>ROUND(IF($F76=4,0,AC76*Worksheet!$E$20),2)</f>
        <v>0</v>
      </c>
      <c r="BP76" s="192">
        <f>ROUND(AD76*Worksheet!$E$21,2)</f>
        <v>0</v>
      </c>
      <c r="BQ76" s="192">
        <f t="shared" si="76"/>
        <v>61.63</v>
      </c>
      <c r="BR76" s="192">
        <f>ROUND(AD76*Worksheet!$E$25,2)</f>
        <v>0</v>
      </c>
      <c r="BS76" s="192">
        <f>ROUND(SUM(BQ76)*Worksheet!$E$26,2)</f>
        <v>5.42</v>
      </c>
      <c r="BT76" s="192">
        <f>ROUND(Y76*Worksheet!$E$27,2)</f>
        <v>0.11</v>
      </c>
      <c r="BU76" s="192">
        <f>ROUND(AO76*Worksheet!$E$29,2)</f>
        <v>0.66</v>
      </c>
      <c r="BV76" s="192">
        <f>ROUND(AP76*Worksheet!$E$30,2)</f>
        <v>0</v>
      </c>
      <c r="BW76" s="192">
        <f>ROUND(IF($I76&lt;&gt;0,$BQ76*Worksheet!$E$28,0),2)</f>
        <v>0.12</v>
      </c>
      <c r="BX76" s="192">
        <f>ROUND(AE76*Worksheet!$E$31,2)</f>
        <v>0</v>
      </c>
      <c r="BY76" s="192">
        <f>ROUND(AF76*Worksheet!$E$32,2)</f>
        <v>0</v>
      </c>
      <c r="BZ76" s="192">
        <f>ROUND(AG76*Worksheet!$E$33,2)</f>
        <v>0</v>
      </c>
      <c r="CA76" s="192">
        <f>ROUND(ROUND(AH76*BQ76,2)*Worksheet!$E$34,2)</f>
        <v>0.48</v>
      </c>
      <c r="CB76" s="192">
        <f>ROUND(AI76*Worksheet!$E$35,2)</f>
        <v>0</v>
      </c>
      <c r="CC76" s="192">
        <f>ROUND(AJ76*Worksheet!$E$36,2)</f>
        <v>0</v>
      </c>
      <c r="CD76" s="192">
        <f>ROUND(AQ76*Worksheet!$E$38,2)</f>
        <v>0</v>
      </c>
      <c r="CE76" s="192">
        <f>ROUND(AR76*Worksheet!$E$39,2)</f>
        <v>0</v>
      </c>
      <c r="CF76" s="192">
        <f>IF(AND(L76&gt;275,SUM(Y76:AD76)&lt;100),ROUND(SUM(Y76:AD76)*Worksheet!$E$41,2),0)</f>
        <v>6.16</v>
      </c>
      <c r="CG76" s="192">
        <f>IF(AND(L76&gt;600,SUM(Y76:AD76)&lt;50),ROUND((50-SUM(Y76:AD76))*(Worksheet!$E$41+1),2),0)</f>
        <v>0</v>
      </c>
      <c r="CH76" s="192">
        <f t="shared" si="77"/>
        <v>74.58</v>
      </c>
      <c r="CI76" s="116">
        <f t="shared" si="95"/>
        <v>0</v>
      </c>
      <c r="CJ76" s="116">
        <f t="shared" si="96"/>
        <v>74.58</v>
      </c>
      <c r="CK76" s="95">
        <f t="shared" si="91"/>
        <v>1.67</v>
      </c>
      <c r="CL76" s="116">
        <f t="shared" si="97"/>
        <v>124.55</v>
      </c>
      <c r="CM76" s="116">
        <f t="shared" si="98"/>
        <v>124.55</v>
      </c>
      <c r="CN76" s="116">
        <f t="shared" si="92"/>
        <v>1448890.15</v>
      </c>
      <c r="CO76" s="131">
        <f>ROUND(IF(F76=4,0,(MAX(ROUND(MAX((BI76*MIN(CL76,K76)*Worksheet!$D$126)+MAX(CL76-K76,0)*Worksheet!$F$50,SUM(J76)),2),SUM(CN76))-SUM(CN76))*MinAdj),2)</f>
        <v>55913.61</v>
      </c>
      <c r="CP76" s="192">
        <f t="shared" si="93"/>
        <v>1504803.76</v>
      </c>
      <c r="CQ76" s="131">
        <f>IF(CL76=0,0,-MIN(CP76,MIN(CP76,ROUND(IF(ROUND(IF(CL76=0,0,N76/CL76),2)&lt;STVPP*0.2,STVPP*0.2*CL76*Worksheet!$F$88/1000,N76*Worksheet!$F$88/1000),2))))</f>
        <v>-386965.08</v>
      </c>
      <c r="CR76" s="193">
        <f>-MIN(SUM(CP76,CQ76),IF($P76=0,(ROUND(Worksheet!$E$77*S76,2)+ROUND(Worksheet!$E$78*T76,2)+ROUND(Worksheet!$E$79*U76,2)+ROUND(Worksheet!$E$80*V76,2)+ROUND(Worksheet!$E$81*W76,2)+ROUND(Worksheet!$E$82*X76,2)),(ROUND(ROUND(S76*ROUND((1-$O76/$P76),4),2)*Worksheet!$E$77,2)+ROUND(ROUND(T76*ROUND((1-$O76/$P76),4),2)*Worksheet!$E$78,2)+ROUND(ROUND(U76*ROUND((1-$O76/$P76),4),2)*Worksheet!$E$79,2)+ROUND(ROUND(V76*ROUND((1-$O76/$P76),4),2)*Worksheet!$E$80,2)+ROUND(ROUND(W76*ROUND((1-$O76/$P76),4),2)*Worksheet!$E$81,2)+ROUND(ROUND(X76*ROUND((1-$O76/$P76),4),2)*Worksheet!$E$82,2))))</f>
        <v>-16476.09</v>
      </c>
      <c r="CS76" s="192">
        <f t="shared" si="78"/>
        <v>1101362.5899999999</v>
      </c>
      <c r="CT76" s="116">
        <f>ROUND(MIN(BA76,ROUND((ROUND(AS76*Worksheet!$E$104,2)+ROUND(AV76*Worksheet!$E$107,2)+ROUND(AT76*Worksheet!$E$105,2)+ROUND(AW76*Worksheet!$E$108,2)+ROUND(AU76*Worksheet!$E$106,2)+ROUND(AX76*Worksheet!$E$109,2)+ROUND(AY76*Worksheet!$E$110,2)+ROUND(AZ76*Worksheet!$E$111,2))*Worksheet!$D$114,2))*BaseRate,2)</f>
        <v>105278.65</v>
      </c>
      <c r="CU76" s="121">
        <v>0</v>
      </c>
      <c r="CV76" s="121">
        <v>0</v>
      </c>
      <c r="CW76" s="121">
        <v>0</v>
      </c>
      <c r="CX76" s="121">
        <v>0</v>
      </c>
      <c r="CY76" s="121">
        <v>0</v>
      </c>
      <c r="DA76" s="192">
        <f t="shared" si="79"/>
        <v>0</v>
      </c>
      <c r="DB76" s="192">
        <f>MAX(-CT76,MIN(0,ROUND($R76*EFBPercent+EFBAdd,2)-$Q76),MIN(0,SUM($CS76:CS76)+MIN(0,ROUND($R76*EFBPercent+EFBAdd,2)-$Q76)))</f>
        <v>0</v>
      </c>
      <c r="DC76" s="192">
        <f>IF(CU76&lt;0,0,MAX(-CU76,MIN(0,ROUND($R76*EFBPercent+EFBAdd,2)-$Q76),MIN(0,SUM($CS76:CT76)+MIN(0,ROUND($R76*EFBPercent+EFBAdd,2)-$Q76))))</f>
        <v>0</v>
      </c>
      <c r="DD76" s="192">
        <f>IF(CV76&lt;0,0,MAX(-CV76,MIN(0,ROUND($R76*EFBPercent+EFBAdd,2)-$Q76),MIN(0,SUM($CS76:CU76)+MIN(0,ROUND($R76*EFBPercent+EFBAdd,2)-$Q76))))</f>
        <v>0</v>
      </c>
      <c r="DE76" s="192">
        <f>IF(CW76&lt;0,0,MAX(-CW76,MIN(0,ROUND($R76*EFBPercent+EFBAdd,2)-$Q76),MIN(0,SUM($CS76:CV76)+MIN(0,ROUND($R76*EFBPercent+EFBAdd,2)-$Q76))))</f>
        <v>0</v>
      </c>
      <c r="DF76" s="192">
        <f>IF(CX76&lt;0,0,MAX(-CX76,MIN(0,ROUND($R76*EFBPercent+EFBAdd,2)-$Q76),MIN(0,SUM($CS76:CW76)+MIN(0,ROUND($R76*EFBPercent+EFBAdd,2)-$Q76))))</f>
        <v>0</v>
      </c>
      <c r="DG76" s="192">
        <f>MAX(-CY76,MIN(0,ROUND($R76*EFBPercent+EFBAdd,2)-$Q76),MIN(0,SUM($CS76:CX76)+MIN(0,ROUND($R76*EFBPercent+EFBAdd,2)-$Q76)))</f>
        <v>0</v>
      </c>
      <c r="DI76" s="73">
        <f t="shared" si="80"/>
        <v>1101362.5899999999</v>
      </c>
      <c r="DJ76" s="73">
        <f t="shared" si="81"/>
        <v>105278.65</v>
      </c>
      <c r="DK76" s="73">
        <f t="shared" si="82"/>
        <v>0</v>
      </c>
      <c r="DL76" s="73">
        <f t="shared" si="83"/>
        <v>0</v>
      </c>
      <c r="DM76" s="73">
        <f t="shared" si="84"/>
        <v>0</v>
      </c>
      <c r="DN76" s="73">
        <f t="shared" si="85"/>
        <v>0</v>
      </c>
      <c r="DO76" s="73">
        <f t="shared" si="86"/>
        <v>0</v>
      </c>
      <c r="DP76" s="73"/>
      <c r="DQ76" s="73"/>
    </row>
    <row r="77" spans="1:121" ht="10.199999999999999" x14ac:dyDescent="0.2">
      <c r="A77" s="4" t="s">
        <v>553</v>
      </c>
      <c r="B77" s="188">
        <v>1034</v>
      </c>
      <c r="C77" s="189" t="s">
        <v>79</v>
      </c>
      <c r="D77" s="4">
        <v>2027</v>
      </c>
      <c r="E77" s="4" t="s">
        <v>395</v>
      </c>
      <c r="F77" s="4">
        <v>1</v>
      </c>
      <c r="G77" s="4" t="s">
        <v>669</v>
      </c>
      <c r="H77" s="4">
        <v>0</v>
      </c>
      <c r="I77" s="4" t="s">
        <v>1091</v>
      </c>
      <c r="J77" s="5">
        <v>2694933.04</v>
      </c>
      <c r="K77" s="5">
        <v>242.29</v>
      </c>
      <c r="L77" s="5">
        <v>692</v>
      </c>
      <c r="M77" s="5">
        <v>0</v>
      </c>
      <c r="N77" s="5">
        <v>13023841</v>
      </c>
      <c r="O77" s="5">
        <v>0</v>
      </c>
      <c r="P77" s="5">
        <v>100.5</v>
      </c>
      <c r="Q77" s="5">
        <v>0</v>
      </c>
      <c r="R77" s="5">
        <v>0</v>
      </c>
      <c r="S77" s="5">
        <v>0</v>
      </c>
      <c r="T77" s="5">
        <v>0</v>
      </c>
      <c r="U77" s="5">
        <v>0</v>
      </c>
      <c r="V77" s="5">
        <v>6978.0199999999995</v>
      </c>
      <c r="W77" s="5">
        <v>12412.79</v>
      </c>
      <c r="X77" s="5">
        <v>24671.41</v>
      </c>
      <c r="Y77" s="5">
        <v>0</v>
      </c>
      <c r="Z77" s="5">
        <v>13</v>
      </c>
      <c r="AA77" s="5">
        <v>80</v>
      </c>
      <c r="AB77" s="5">
        <v>21</v>
      </c>
      <c r="AC77" s="5">
        <v>52</v>
      </c>
      <c r="AD77" s="5">
        <v>0</v>
      </c>
      <c r="AE77" s="5">
        <v>0</v>
      </c>
      <c r="AF77" s="5">
        <v>0</v>
      </c>
      <c r="AG77" s="5">
        <v>0.86</v>
      </c>
      <c r="AH77" s="5">
        <v>0.65900000000000003</v>
      </c>
      <c r="AI77" s="5">
        <v>1.03</v>
      </c>
      <c r="AJ77" s="5">
        <v>0</v>
      </c>
      <c r="AK77" s="5">
        <v>0</v>
      </c>
      <c r="AL77" s="5">
        <v>169.34</v>
      </c>
      <c r="AM77" s="5">
        <v>9.1700000000000159</v>
      </c>
      <c r="AN77" s="5">
        <v>166</v>
      </c>
      <c r="AO77" s="5">
        <f t="shared" si="94"/>
        <v>3.3400000000000034</v>
      </c>
      <c r="AP77" s="5">
        <f t="shared" si="99"/>
        <v>0</v>
      </c>
      <c r="AQ77" s="5">
        <v>0</v>
      </c>
      <c r="AR77" s="5">
        <v>0</v>
      </c>
      <c r="AS77" s="5">
        <v>0</v>
      </c>
      <c r="AT77" s="5">
        <v>132743.56</v>
      </c>
      <c r="AU77" s="5">
        <v>0</v>
      </c>
      <c r="AV77" s="5">
        <v>2324</v>
      </c>
      <c r="AW77" s="199">
        <v>692</v>
      </c>
      <c r="AX77" s="199">
        <v>1</v>
      </c>
      <c r="AY77" s="199">
        <v>0</v>
      </c>
      <c r="AZ77" s="199">
        <v>0</v>
      </c>
      <c r="BA77" s="5">
        <v>339871.81</v>
      </c>
      <c r="BB77" s="13">
        <v>772688.34</v>
      </c>
      <c r="BC77" s="190">
        <f>MAX(ROUND(IF(F77&lt;4,IF(H77=0,(SUM(Y77:AD77)*Worksheet!$E$26+Y77*Worksheet!$E$27+AR77*Worksheet!$E$39)*-BaseRate,0)),2),MIN(0,-DI77))</f>
        <v>-169934.86</v>
      </c>
      <c r="BD77" s="190">
        <f>MAX(ROUND(IF(F77=4,0,IF(I77=0,0,ROUND(SUM(Y77:AD77)*Worksheet!$E$28,2)*-BaseRate)),2),MIN(0,-DI77-BC77))</f>
        <v>-3838.89</v>
      </c>
      <c r="BE77" s="130">
        <f t="shared" si="87"/>
        <v>2526</v>
      </c>
      <c r="BF77" s="130">
        <f t="shared" si="88"/>
        <v>1403</v>
      </c>
      <c r="BG77" s="73"/>
      <c r="BH77" s="191">
        <f t="shared" si="89"/>
        <v>51069.88</v>
      </c>
      <c r="BI77" s="191">
        <f t="shared" si="90"/>
        <v>11122.76</v>
      </c>
      <c r="BJ77" s="232">
        <f>IFERROR(ROUND(IF(AND(BB77*1.12&lt;N77*60/1000,N77/CL77&lt;STVPP*0.2),(CL77*STVPP*0.2*Worksheet!$F$88/1000-BB77*1.12)*PropTaxAdj,IF(BB77*1.12&lt;N77*60/1000,(N77*60/1000-BB77*1.12)*PropTaxAdj,0)),2),0)</f>
        <v>0</v>
      </c>
      <c r="BK77" s="192">
        <f>ROUND(IF($F77=4,0,Y77*Worksheet!$E$16),2)</f>
        <v>0</v>
      </c>
      <c r="BL77" s="192">
        <f>ROUND(IF($F77=4,0,Z77*Worksheet!$E$17),2)</f>
        <v>13</v>
      </c>
      <c r="BM77" s="192">
        <f>ROUND(IF($F77=4,0,AA77*Worksheet!$E$18),2)</f>
        <v>80</v>
      </c>
      <c r="BN77" s="192">
        <f>ROUND(IF($F77=4,0,AB77*Worksheet!$E$19),2)</f>
        <v>21</v>
      </c>
      <c r="BO77" s="192">
        <f>ROUND(IF($F77=4,0,AC77*Worksheet!$E$20),2)</f>
        <v>52</v>
      </c>
      <c r="BP77" s="192">
        <f>ROUND(AD77*Worksheet!$E$21,2)</f>
        <v>0</v>
      </c>
      <c r="BQ77" s="192">
        <f t="shared" si="76"/>
        <v>166</v>
      </c>
      <c r="BR77" s="192">
        <f>ROUND(AD77*Worksheet!$E$25,2)</f>
        <v>0</v>
      </c>
      <c r="BS77" s="192">
        <f>ROUND(SUM(BQ77)*Worksheet!$E$26,2)</f>
        <v>14.61</v>
      </c>
      <c r="BT77" s="192">
        <f>ROUND(Y77*Worksheet!$E$27,2)</f>
        <v>0</v>
      </c>
      <c r="BU77" s="192">
        <f>ROUND(AO77*Worksheet!$E$29,2)</f>
        <v>3.34</v>
      </c>
      <c r="BV77" s="192">
        <f>ROUND(AP77*Worksheet!$E$30,2)</f>
        <v>0</v>
      </c>
      <c r="BW77" s="192">
        <f>ROUND(IF($I77&lt;&gt;0,$BQ77*Worksheet!$E$28,0),2)</f>
        <v>0.33</v>
      </c>
      <c r="BX77" s="192">
        <f>ROUND(AE77*Worksheet!$E$31,2)</f>
        <v>0</v>
      </c>
      <c r="BY77" s="192">
        <f>ROUND(AF77*Worksheet!$E$32,2)</f>
        <v>0</v>
      </c>
      <c r="BZ77" s="192">
        <f>ROUND(AG77*Worksheet!$E$33,2)</f>
        <v>0.06</v>
      </c>
      <c r="CA77" s="192">
        <f>ROUND(ROUND(AH77*BQ77,2)*Worksheet!$E$34,2)</f>
        <v>2.73</v>
      </c>
      <c r="CB77" s="192">
        <f>ROUND(AI77*Worksheet!$E$35,2)</f>
        <v>0.21</v>
      </c>
      <c r="CC77" s="192">
        <f>ROUND(AJ77*Worksheet!$E$36,2)</f>
        <v>0</v>
      </c>
      <c r="CD77" s="192">
        <f>ROUND(AQ77*Worksheet!$E$38,2)</f>
        <v>0</v>
      </c>
      <c r="CE77" s="192">
        <f>ROUND(AR77*Worksheet!$E$39,2)</f>
        <v>0</v>
      </c>
      <c r="CF77" s="192">
        <f>IF(AND(L77&gt;275,SUM(Y77:AD77)&lt;100),ROUND(SUM(Y77:AD77)*Worksheet!$E$41,2),0)</f>
        <v>0</v>
      </c>
      <c r="CG77" s="192">
        <f>IF(AND(L77&gt;600,SUM(Y77:AD77)&lt;50),ROUND((50-SUM(Y77:AD77))*(Worksheet!$E$41+1),2),0)</f>
        <v>0</v>
      </c>
      <c r="CH77" s="192">
        <f t="shared" si="77"/>
        <v>187.28000000000003</v>
      </c>
      <c r="CI77" s="116">
        <f t="shared" si="95"/>
        <v>0</v>
      </c>
      <c r="CJ77" s="116">
        <f t="shared" si="96"/>
        <v>187.28000000000003</v>
      </c>
      <c r="CK77" s="95">
        <f t="shared" si="91"/>
        <v>1.3616999999999999</v>
      </c>
      <c r="CL77" s="116">
        <f t="shared" si="97"/>
        <v>255.02</v>
      </c>
      <c r="CM77" s="116">
        <f t="shared" si="98"/>
        <v>255.02</v>
      </c>
      <c r="CN77" s="116">
        <f t="shared" si="92"/>
        <v>2966647.66</v>
      </c>
      <c r="CO77" s="131">
        <f>ROUND(IF(F77=4,0,(MAX(ROUND(MAX((BI77*MIN(CL77,K77)*Worksheet!$D$126)+MAX(CL77-K77,0)*Worksheet!$F$50,SUM(J77)),2),SUM(CN77))-SUM(CN77))*MinAdj),2)</f>
        <v>0</v>
      </c>
      <c r="CP77" s="192">
        <f t="shared" si="93"/>
        <v>2966647.66</v>
      </c>
      <c r="CQ77" s="131">
        <f>IF(CL77=0,0,-MIN(CP77,MIN(CP77,ROUND(IF(ROUND(IF(CL77=0,0,N77/CL77),2)&lt;STVPP*0.2,STVPP*0.2*CL77*Worksheet!$F$88/1000,N77*Worksheet!$F$88/1000),2))))</f>
        <v>-781430.46</v>
      </c>
      <c r="CR77" s="193">
        <f>-MIN(SUM(CP77,CQ77),IF($P77=0,(ROUND(Worksheet!$E$77*S77,2)+ROUND(Worksheet!$E$78*T77,2)+ROUND(Worksheet!$E$79*U77,2)+ROUND(Worksheet!$E$80*V77,2)+ROUND(Worksheet!$E$81*W77,2)+ROUND(Worksheet!$E$82*X77,2)),(ROUND(ROUND(S77*ROUND((1-$O77/$P77),4),2)*Worksheet!$E$77,2)+ROUND(ROUND(T77*ROUND((1-$O77/$P77),4),2)*Worksheet!$E$78,2)+ROUND(ROUND(U77*ROUND((1-$O77/$P77),4),2)*Worksheet!$E$79,2)+ROUND(ROUND(V77*ROUND((1-$O77/$P77),4),2)*Worksheet!$E$80,2)+ROUND(ROUND(W77*ROUND((1-$O77/$P77),4),2)*Worksheet!$E$81,2)+ROUND(ROUND(X77*ROUND((1-$O77/$P77),4),2)*Worksheet!$E$82,2))))</f>
        <v>-33046.67</v>
      </c>
      <c r="CS77" s="192">
        <f t="shared" si="78"/>
        <v>2152170.5300000003</v>
      </c>
      <c r="CT77" s="116">
        <f>ROUND(MIN(BA77,ROUND((ROUND(AS77*Worksheet!$E$104,2)+ROUND(AV77*Worksheet!$E$107,2)+ROUND(AT77*Worksheet!$E$105,2)+ROUND(AW77*Worksheet!$E$108,2)+ROUND(AU77*Worksheet!$E$106,2)+ROUND(AX77*Worksheet!$E$109,2)+ROUND(AY77*Worksheet!$E$110,2)+ROUND(AZ77*Worksheet!$E$111,2))*Worksheet!$D$114,2))*BaseRate,2)</f>
        <v>190083.22</v>
      </c>
      <c r="CU77" s="121">
        <v>0</v>
      </c>
      <c r="CV77" s="121">
        <v>0</v>
      </c>
      <c r="CW77" s="121">
        <v>0</v>
      </c>
      <c r="CX77" s="121">
        <v>0</v>
      </c>
      <c r="CY77" s="121">
        <v>0</v>
      </c>
      <c r="DA77" s="192">
        <f t="shared" si="79"/>
        <v>0</v>
      </c>
      <c r="DB77" s="192">
        <f>MAX(-CT77,MIN(0,ROUND($R77*EFBPercent+EFBAdd,2)-$Q77),MIN(0,SUM($CS77:CS77)+MIN(0,ROUND($R77*EFBPercent+EFBAdd,2)-$Q77)))</f>
        <v>0</v>
      </c>
      <c r="DC77" s="192">
        <f>IF(CU77&lt;0,0,MAX(-CU77,MIN(0,ROUND($R77*EFBPercent+EFBAdd,2)-$Q77),MIN(0,SUM($CS77:CT77)+MIN(0,ROUND($R77*EFBPercent+EFBAdd,2)-$Q77))))</f>
        <v>0</v>
      </c>
      <c r="DD77" s="192">
        <f>IF(CV77&lt;0,0,MAX(-CV77,MIN(0,ROUND($R77*EFBPercent+EFBAdd,2)-$Q77),MIN(0,SUM($CS77:CU77)+MIN(0,ROUND($R77*EFBPercent+EFBAdd,2)-$Q77))))</f>
        <v>0</v>
      </c>
      <c r="DE77" s="192">
        <f>IF(CW77&lt;0,0,MAX(-CW77,MIN(0,ROUND($R77*EFBPercent+EFBAdd,2)-$Q77),MIN(0,SUM($CS77:CV77)+MIN(0,ROUND($R77*EFBPercent+EFBAdd,2)-$Q77))))</f>
        <v>0</v>
      </c>
      <c r="DF77" s="192">
        <f>IF(CX77&lt;0,0,MAX(-CX77,MIN(0,ROUND($R77*EFBPercent+EFBAdd,2)-$Q77),MIN(0,SUM($CS77:CW77)+MIN(0,ROUND($R77*EFBPercent+EFBAdd,2)-$Q77))))</f>
        <v>0</v>
      </c>
      <c r="DG77" s="192">
        <f>MAX(-CY77,MIN(0,ROUND($R77*EFBPercent+EFBAdd,2)-$Q77),MIN(0,SUM($CS77:CX77)+MIN(0,ROUND($R77*EFBPercent+EFBAdd,2)-$Q77)))</f>
        <v>0</v>
      </c>
      <c r="DI77" s="73">
        <f t="shared" si="80"/>
        <v>2152170.5300000003</v>
      </c>
      <c r="DJ77" s="73">
        <f t="shared" si="81"/>
        <v>190083.22</v>
      </c>
      <c r="DK77" s="73">
        <f t="shared" si="82"/>
        <v>0</v>
      </c>
      <c r="DL77" s="73">
        <f t="shared" si="83"/>
        <v>0</v>
      </c>
      <c r="DM77" s="73">
        <f t="shared" si="84"/>
        <v>0</v>
      </c>
      <c r="DN77" s="73">
        <f t="shared" si="85"/>
        <v>0</v>
      </c>
      <c r="DO77" s="73">
        <f t="shared" si="86"/>
        <v>0</v>
      </c>
      <c r="DP77" s="73"/>
      <c r="DQ77" s="73"/>
    </row>
    <row r="78" spans="1:121" ht="10.199999999999999" x14ac:dyDescent="0.2">
      <c r="A78" s="4" t="s">
        <v>554</v>
      </c>
      <c r="B78" s="188">
        <v>1102</v>
      </c>
      <c r="C78" s="189" t="s">
        <v>80</v>
      </c>
      <c r="D78" s="4">
        <v>2027</v>
      </c>
      <c r="E78" s="4" t="s">
        <v>396</v>
      </c>
      <c r="F78" s="4">
        <v>1</v>
      </c>
      <c r="G78" s="4" t="s">
        <v>666</v>
      </c>
      <c r="H78" s="4">
        <v>100</v>
      </c>
      <c r="I78" s="4" t="s">
        <v>849</v>
      </c>
      <c r="J78" s="5">
        <v>3162000.6100000003</v>
      </c>
      <c r="K78" s="5">
        <v>236.75</v>
      </c>
      <c r="L78" s="5">
        <v>593.64</v>
      </c>
      <c r="M78" s="5">
        <v>1</v>
      </c>
      <c r="N78" s="5">
        <v>15916692</v>
      </c>
      <c r="O78" s="5">
        <v>0</v>
      </c>
      <c r="P78" s="5">
        <v>98.03</v>
      </c>
      <c r="Q78" s="5">
        <v>0</v>
      </c>
      <c r="R78" s="5">
        <v>0</v>
      </c>
      <c r="S78" s="5">
        <v>0</v>
      </c>
      <c r="T78" s="5">
        <v>0</v>
      </c>
      <c r="U78" s="5">
        <v>0</v>
      </c>
      <c r="V78" s="5">
        <v>13333.66</v>
      </c>
      <c r="W78" s="5">
        <v>19897.79</v>
      </c>
      <c r="X78" s="5">
        <v>12890.24</v>
      </c>
      <c r="Y78" s="5">
        <v>0.08</v>
      </c>
      <c r="Z78" s="5">
        <v>7</v>
      </c>
      <c r="AA78" s="5">
        <v>72</v>
      </c>
      <c r="AB78" s="5">
        <v>30</v>
      </c>
      <c r="AC78" s="5">
        <v>54</v>
      </c>
      <c r="AD78" s="5">
        <v>0</v>
      </c>
      <c r="AE78" s="5">
        <v>0</v>
      </c>
      <c r="AF78" s="5">
        <v>0</v>
      </c>
      <c r="AG78" s="5">
        <v>0</v>
      </c>
      <c r="AH78" s="5">
        <v>0.39300000000000002</v>
      </c>
      <c r="AI78" s="5">
        <v>0</v>
      </c>
      <c r="AJ78" s="5">
        <v>0</v>
      </c>
      <c r="AK78" s="5">
        <v>0</v>
      </c>
      <c r="AL78" s="5">
        <v>167.34</v>
      </c>
      <c r="AM78" s="5">
        <v>0</v>
      </c>
      <c r="AN78" s="5">
        <v>163</v>
      </c>
      <c r="AO78" s="5">
        <f t="shared" si="94"/>
        <v>4.3400000000000034</v>
      </c>
      <c r="AP78" s="5">
        <f t="shared" si="99"/>
        <v>0</v>
      </c>
      <c r="AQ78" s="5">
        <v>0</v>
      </c>
      <c r="AR78" s="5">
        <v>0</v>
      </c>
      <c r="AS78" s="5">
        <v>10440</v>
      </c>
      <c r="AT78" s="5">
        <v>123540</v>
      </c>
      <c r="AU78" s="5">
        <v>1044</v>
      </c>
      <c r="AV78" s="5">
        <v>2088</v>
      </c>
      <c r="AW78" s="199">
        <v>593.64</v>
      </c>
      <c r="AX78" s="199">
        <v>2</v>
      </c>
      <c r="AY78" s="199">
        <v>0</v>
      </c>
      <c r="AZ78" s="199">
        <v>0</v>
      </c>
      <c r="BA78" s="5">
        <v>294766.52</v>
      </c>
      <c r="BB78" s="13">
        <v>946172.58</v>
      </c>
      <c r="BC78" s="190">
        <f>MAX(ROUND(IF(F78&lt;4,IF(H78=0,(SUM(Y78:AD78)*Worksheet!$E$26+Y78*Worksheet!$E$27+AR78*Worksheet!$E$39)*-BaseRate,0)),2),MIN(0,-DI78))</f>
        <v>0</v>
      </c>
      <c r="BD78" s="190">
        <f>MAX(ROUND(IF(F78=4,0,IF(I78=0,0,ROUND(SUM(Y78:AD78)*Worksheet!$E$28,2)*-BaseRate)),2),MIN(0,-DI78-BC78))</f>
        <v>-3838.89</v>
      </c>
      <c r="BE78" s="130">
        <f t="shared" si="87"/>
        <v>0</v>
      </c>
      <c r="BF78" s="130">
        <f t="shared" si="88"/>
        <v>1405</v>
      </c>
      <c r="BG78" s="73"/>
      <c r="BH78" s="191">
        <f t="shared" si="89"/>
        <v>51879.7</v>
      </c>
      <c r="BI78" s="191">
        <f t="shared" si="90"/>
        <v>13355.86</v>
      </c>
      <c r="BJ78" s="232">
        <f>IFERROR(ROUND(IF(AND(BB78*1.12&lt;N78*60/1000,N78/CL78&lt;STVPP*0.2),(CL78*STVPP*0.2*Worksheet!$F$88/1000-BB78*1.12)*PropTaxAdj,IF(BB78*1.12&lt;N78*60/1000,(N78*60/1000-BB78*1.12)*PropTaxAdj,0)),2),0)</f>
        <v>0</v>
      </c>
      <c r="BK78" s="192">
        <f>ROUND(IF($F78=4,0,Y78*Worksheet!$E$16),2)</f>
        <v>0.08</v>
      </c>
      <c r="BL78" s="192">
        <f>ROUND(IF($F78=4,0,Z78*Worksheet!$E$17),2)</f>
        <v>7</v>
      </c>
      <c r="BM78" s="192">
        <f>ROUND(IF($F78=4,0,AA78*Worksheet!$E$18),2)</f>
        <v>72</v>
      </c>
      <c r="BN78" s="192">
        <f>ROUND(IF($F78=4,0,AB78*Worksheet!$E$19),2)</f>
        <v>30</v>
      </c>
      <c r="BO78" s="192">
        <f>ROUND(IF($F78=4,0,AC78*Worksheet!$E$20),2)</f>
        <v>54</v>
      </c>
      <c r="BP78" s="192">
        <f>ROUND(AD78*Worksheet!$E$21,2)</f>
        <v>0</v>
      </c>
      <c r="BQ78" s="192">
        <f t="shared" si="76"/>
        <v>163.07999999999998</v>
      </c>
      <c r="BR78" s="192">
        <f>ROUND(AD78*Worksheet!$E$25,2)</f>
        <v>0</v>
      </c>
      <c r="BS78" s="192">
        <f>ROUND(SUM(BQ78)*Worksheet!$E$26,2)</f>
        <v>14.35</v>
      </c>
      <c r="BT78" s="192">
        <f>ROUND(Y78*Worksheet!$E$27,2)</f>
        <v>0.01</v>
      </c>
      <c r="BU78" s="192">
        <f>ROUND(AO78*Worksheet!$E$29,2)</f>
        <v>4.34</v>
      </c>
      <c r="BV78" s="192">
        <f>ROUND(AP78*Worksheet!$E$30,2)</f>
        <v>0</v>
      </c>
      <c r="BW78" s="192">
        <f>ROUND(IF($I78&lt;&gt;0,$BQ78*Worksheet!$E$28,0),2)</f>
        <v>0.33</v>
      </c>
      <c r="BX78" s="192">
        <f>ROUND(AE78*Worksheet!$E$31,2)</f>
        <v>0</v>
      </c>
      <c r="BY78" s="192">
        <f>ROUND(AF78*Worksheet!$E$32,2)</f>
        <v>0</v>
      </c>
      <c r="BZ78" s="192">
        <f>ROUND(AG78*Worksheet!$E$33,2)</f>
        <v>0</v>
      </c>
      <c r="CA78" s="192">
        <f>ROUND(ROUND(AH78*BQ78,2)*Worksheet!$E$34,2)</f>
        <v>1.6</v>
      </c>
      <c r="CB78" s="192">
        <f>ROUND(AI78*Worksheet!$E$35,2)</f>
        <v>0</v>
      </c>
      <c r="CC78" s="192">
        <f>ROUND(AJ78*Worksheet!$E$36,2)</f>
        <v>0</v>
      </c>
      <c r="CD78" s="192">
        <f>ROUND(AQ78*Worksheet!$E$38,2)</f>
        <v>0</v>
      </c>
      <c r="CE78" s="192">
        <f>ROUND(AR78*Worksheet!$E$39,2)</f>
        <v>0</v>
      </c>
      <c r="CF78" s="192">
        <f>IF(AND(L78&gt;275,SUM(Y78:AD78)&lt;100),ROUND(SUM(Y78:AD78)*Worksheet!$E$41,2),0)</f>
        <v>0</v>
      </c>
      <c r="CG78" s="192">
        <f>IF(AND(L78&gt;600,SUM(Y78:AD78)&lt;50),ROUND((50-SUM(Y78:AD78))*(Worksheet!$E$41+1),2),0)</f>
        <v>0</v>
      </c>
      <c r="CH78" s="192">
        <f t="shared" si="77"/>
        <v>183.70999999999998</v>
      </c>
      <c r="CI78" s="116">
        <f t="shared" si="95"/>
        <v>0</v>
      </c>
      <c r="CJ78" s="116">
        <f t="shared" si="96"/>
        <v>183.70999999999998</v>
      </c>
      <c r="CK78" s="95">
        <f t="shared" si="91"/>
        <v>1.67</v>
      </c>
      <c r="CL78" s="116">
        <f t="shared" si="97"/>
        <v>306.8</v>
      </c>
      <c r="CM78" s="116">
        <f t="shared" si="98"/>
        <v>306.8</v>
      </c>
      <c r="CN78" s="116">
        <f t="shared" si="92"/>
        <v>3569004.4</v>
      </c>
      <c r="CO78" s="131">
        <f>ROUND(IF(F78=4,0,(MAX(ROUND(MAX((BI78*MIN(CL78,K78)*Worksheet!$D$126)+MAX(CL78-K78,0)*Worksheet!$F$50,SUM(J78)),2),SUM(CN78))-SUM(CN78))*MinAdj),2)</f>
        <v>70669.070000000007</v>
      </c>
      <c r="CP78" s="192">
        <f t="shared" si="93"/>
        <v>3639673.4699999997</v>
      </c>
      <c r="CQ78" s="131">
        <f>IF(CL78=0,0,-MIN(CP78,MIN(CP78,ROUND(IF(ROUND(IF(CL78=0,0,N78/CL78),2)&lt;STVPP*0.2,STVPP*0.2*CL78*Worksheet!$F$88/1000,N78*Worksheet!$F$88/1000),2))))</f>
        <v>-955001.52</v>
      </c>
      <c r="CR78" s="193">
        <f>-MIN(SUM(CP78,CQ78),IF($P78=0,(ROUND(Worksheet!$E$77*S78,2)+ROUND(Worksheet!$E$78*T78,2)+ROUND(Worksheet!$E$79*U78,2)+ROUND(Worksheet!$E$80*V78,2)+ROUND(Worksheet!$E$81*W78,2)+ROUND(Worksheet!$E$82*X78,2)),(ROUND(ROUND(S78*ROUND((1-$O78/$P78),4),2)*Worksheet!$E$77,2)+ROUND(ROUND(T78*ROUND((1-$O78/$P78),4),2)*Worksheet!$E$78,2)+ROUND(ROUND(U78*ROUND((1-$O78/$P78),4),2)*Worksheet!$E$79,2)+ROUND(ROUND(V78*ROUND((1-$O78/$P78),4),2)*Worksheet!$E$80,2)+ROUND(ROUND(W78*ROUND((1-$O78/$P78),4),2)*Worksheet!$E$81,2)+ROUND(ROUND(X78*ROUND((1-$O78/$P78),4),2)*Worksheet!$E$82,2))))</f>
        <v>-34591.270000000004</v>
      </c>
      <c r="CS78" s="192">
        <f t="shared" si="78"/>
        <v>2650080.6799999997</v>
      </c>
      <c r="CT78" s="116">
        <f>ROUND(MIN(BA78,ROUND((ROUND(AS78*Worksheet!$E$104,2)+ROUND(AV78*Worksheet!$E$107,2)+ROUND(AT78*Worksheet!$E$105,2)+ROUND(AW78*Worksheet!$E$108,2)+ROUND(AU78*Worksheet!$E$106,2)+ROUND(AX78*Worksheet!$E$109,2)+ROUND(AY78*Worksheet!$E$110,2)+ROUND(AZ78*Worksheet!$E$111,2))*Worksheet!$D$114,2))*BaseRate,2)</f>
        <v>188687.26</v>
      </c>
      <c r="CU78" s="121">
        <v>0</v>
      </c>
      <c r="CV78" s="121">
        <v>0</v>
      </c>
      <c r="CW78" s="121">
        <v>0</v>
      </c>
      <c r="CX78" s="121">
        <v>0</v>
      </c>
      <c r="CY78" s="121">
        <v>0</v>
      </c>
      <c r="DA78" s="192">
        <f t="shared" si="79"/>
        <v>0</v>
      </c>
      <c r="DB78" s="192">
        <f>MAX(-CT78,MIN(0,ROUND($R78*EFBPercent+EFBAdd,2)-$Q78),MIN(0,SUM($CS78:CS78)+MIN(0,ROUND($R78*EFBPercent+EFBAdd,2)-$Q78)))</f>
        <v>0</v>
      </c>
      <c r="DC78" s="192">
        <f>IF(CU78&lt;0,0,MAX(-CU78,MIN(0,ROUND($R78*EFBPercent+EFBAdd,2)-$Q78),MIN(0,SUM($CS78:CT78)+MIN(0,ROUND($R78*EFBPercent+EFBAdd,2)-$Q78))))</f>
        <v>0</v>
      </c>
      <c r="DD78" s="192">
        <f>IF(CV78&lt;0,0,MAX(-CV78,MIN(0,ROUND($R78*EFBPercent+EFBAdd,2)-$Q78),MIN(0,SUM($CS78:CU78)+MIN(0,ROUND($R78*EFBPercent+EFBAdd,2)-$Q78))))</f>
        <v>0</v>
      </c>
      <c r="DE78" s="192">
        <f>IF(CW78&lt;0,0,MAX(-CW78,MIN(0,ROUND($R78*EFBPercent+EFBAdd,2)-$Q78),MIN(0,SUM($CS78:CV78)+MIN(0,ROUND($R78*EFBPercent+EFBAdd,2)-$Q78))))</f>
        <v>0</v>
      </c>
      <c r="DF78" s="192">
        <f>IF(CX78&lt;0,0,MAX(-CX78,MIN(0,ROUND($R78*EFBPercent+EFBAdd,2)-$Q78),MIN(0,SUM($CS78:CW78)+MIN(0,ROUND($R78*EFBPercent+EFBAdd,2)-$Q78))))</f>
        <v>0</v>
      </c>
      <c r="DG78" s="192">
        <f>MAX(-CY78,MIN(0,ROUND($R78*EFBPercent+EFBAdd,2)-$Q78),MIN(0,SUM($CS78:CX78)+MIN(0,ROUND($R78*EFBPercent+EFBAdd,2)-$Q78)))</f>
        <v>0</v>
      </c>
      <c r="DI78" s="73">
        <f t="shared" si="80"/>
        <v>2650080.6799999997</v>
      </c>
      <c r="DJ78" s="73">
        <f t="shared" si="81"/>
        <v>188687.26</v>
      </c>
      <c r="DK78" s="73">
        <f t="shared" si="82"/>
        <v>0</v>
      </c>
      <c r="DL78" s="73">
        <f t="shared" si="83"/>
        <v>0</v>
      </c>
      <c r="DM78" s="73">
        <f t="shared" si="84"/>
        <v>0</v>
      </c>
      <c r="DN78" s="73">
        <f t="shared" si="85"/>
        <v>0</v>
      </c>
      <c r="DO78" s="73">
        <f t="shared" si="86"/>
        <v>0</v>
      </c>
      <c r="DP78" s="73"/>
      <c r="DQ78" s="73"/>
    </row>
    <row r="79" spans="1:121" ht="10.199999999999999" x14ac:dyDescent="0.2">
      <c r="A79" s="4" t="s">
        <v>555</v>
      </c>
      <c r="B79" s="188">
        <v>1057</v>
      </c>
      <c r="C79" s="189" t="s">
        <v>81</v>
      </c>
      <c r="D79" s="4">
        <v>2027</v>
      </c>
      <c r="E79" s="4" t="s">
        <v>397</v>
      </c>
      <c r="F79" s="4">
        <v>1</v>
      </c>
      <c r="G79" s="4" t="s">
        <v>682</v>
      </c>
      <c r="H79" s="4">
        <v>0</v>
      </c>
      <c r="I79" s="4" t="s">
        <v>853</v>
      </c>
      <c r="J79" s="5">
        <v>3509094.66</v>
      </c>
      <c r="K79" s="5">
        <v>333.3</v>
      </c>
      <c r="L79" s="5">
        <v>422.89</v>
      </c>
      <c r="M79" s="5">
        <v>0</v>
      </c>
      <c r="N79" s="5">
        <v>16825305</v>
      </c>
      <c r="O79" s="5">
        <v>0</v>
      </c>
      <c r="P79" s="5">
        <v>96.31</v>
      </c>
      <c r="Q79" s="5">
        <v>0</v>
      </c>
      <c r="R79" s="5">
        <v>0</v>
      </c>
      <c r="S79" s="5">
        <v>48123.78</v>
      </c>
      <c r="T79" s="5">
        <v>0</v>
      </c>
      <c r="U79" s="5">
        <v>0</v>
      </c>
      <c r="V79" s="5">
        <v>23644.03</v>
      </c>
      <c r="W79" s="5">
        <v>3268</v>
      </c>
      <c r="X79" s="5">
        <v>23579.95</v>
      </c>
      <c r="Y79" s="5">
        <v>0.94</v>
      </c>
      <c r="Z79" s="5">
        <v>23</v>
      </c>
      <c r="AA79" s="5">
        <v>116</v>
      </c>
      <c r="AB79" s="5">
        <v>44</v>
      </c>
      <c r="AC79" s="5">
        <v>76</v>
      </c>
      <c r="AD79" s="5">
        <v>0</v>
      </c>
      <c r="AE79" s="5">
        <v>0</v>
      </c>
      <c r="AF79" s="5">
        <v>0</v>
      </c>
      <c r="AG79" s="5">
        <v>0</v>
      </c>
      <c r="AH79" s="5">
        <v>0.436</v>
      </c>
      <c r="AI79" s="5">
        <v>0</v>
      </c>
      <c r="AJ79" s="5">
        <v>0</v>
      </c>
      <c r="AK79" s="5">
        <v>0</v>
      </c>
      <c r="AL79" s="5">
        <v>268.66000000000003</v>
      </c>
      <c r="AM79" s="5">
        <v>1.75</v>
      </c>
      <c r="AN79" s="5">
        <v>259</v>
      </c>
      <c r="AO79" s="5">
        <f t="shared" si="94"/>
        <v>9.660000000000025</v>
      </c>
      <c r="AP79" s="5">
        <f t="shared" si="99"/>
        <v>0</v>
      </c>
      <c r="AQ79" s="5">
        <v>1.31</v>
      </c>
      <c r="AR79" s="5">
        <v>0</v>
      </c>
      <c r="AS79" s="5">
        <v>0</v>
      </c>
      <c r="AT79" s="5">
        <v>107328</v>
      </c>
      <c r="AU79" s="5">
        <v>0</v>
      </c>
      <c r="AV79" s="5">
        <v>1720</v>
      </c>
      <c r="AW79" s="199">
        <v>422.89</v>
      </c>
      <c r="AX79" s="199">
        <v>1</v>
      </c>
      <c r="AY79" s="199">
        <v>0</v>
      </c>
      <c r="AZ79" s="199">
        <v>0</v>
      </c>
      <c r="BA79" s="5">
        <v>304653.92</v>
      </c>
      <c r="BB79" s="13">
        <v>991338.6</v>
      </c>
      <c r="BC79" s="190">
        <f>MAX(ROUND(IF(F79&lt;4,IF(H79=0,(SUM(Y79:AD79)*Worksheet!$E$26+Y79*Worksheet!$E$27+AR79*Worksheet!$E$39)*-BaseRate,0)),2),MIN(0,-DI79))</f>
        <v>-267960.57</v>
      </c>
      <c r="BD79" s="190">
        <f>MAX(ROUND(IF(F79=4,0,IF(I79=0,0,ROUND(SUM(Y79:AD79)*Worksheet!$E$28,2)*-BaseRate)),2),MIN(0,-DI79-BC79))</f>
        <v>-6049.16</v>
      </c>
      <c r="BE79" s="130">
        <f t="shared" si="87"/>
        <v>2511</v>
      </c>
      <c r="BF79" s="130">
        <f t="shared" si="88"/>
        <v>1408</v>
      </c>
      <c r="BG79" s="73"/>
      <c r="BH79" s="191">
        <f t="shared" si="89"/>
        <v>47246.17</v>
      </c>
      <c r="BI79" s="191">
        <f t="shared" si="90"/>
        <v>10528.34</v>
      </c>
      <c r="BJ79" s="232">
        <f>IFERROR(ROUND(IF(AND(BB79*1.12&lt;N79*60/1000,N79/CL79&lt;STVPP*0.2),(CL79*STVPP*0.2*Worksheet!$F$88/1000-BB79*1.12)*PropTaxAdj,IF(BB79*1.12&lt;N79*60/1000,(N79*60/1000-BB79*1.12)*PropTaxAdj,0)),2),0)</f>
        <v>0</v>
      </c>
      <c r="BK79" s="192">
        <f>ROUND(IF($F79=4,0,Y79*Worksheet!$E$16),2)</f>
        <v>0.94</v>
      </c>
      <c r="BL79" s="192">
        <f>ROUND(IF($F79=4,0,Z79*Worksheet!$E$17),2)</f>
        <v>23</v>
      </c>
      <c r="BM79" s="192">
        <f>ROUND(IF($F79=4,0,AA79*Worksheet!$E$18),2)</f>
        <v>116</v>
      </c>
      <c r="BN79" s="192">
        <f>ROUND(IF($F79=4,0,AB79*Worksheet!$E$19),2)</f>
        <v>44</v>
      </c>
      <c r="BO79" s="192">
        <f>ROUND(IF($F79=4,0,AC79*Worksheet!$E$20),2)</f>
        <v>76</v>
      </c>
      <c r="BP79" s="192">
        <f>ROUND(AD79*Worksheet!$E$21,2)</f>
        <v>0</v>
      </c>
      <c r="BQ79" s="192">
        <f t="shared" si="76"/>
        <v>259.94</v>
      </c>
      <c r="BR79" s="192">
        <f>ROUND(AD79*Worksheet!$E$25,2)</f>
        <v>0</v>
      </c>
      <c r="BS79" s="192">
        <f>ROUND(SUM(BQ79)*Worksheet!$E$26,2)</f>
        <v>22.87</v>
      </c>
      <c r="BT79" s="192">
        <f>ROUND(Y79*Worksheet!$E$27,2)</f>
        <v>0.16</v>
      </c>
      <c r="BU79" s="192">
        <f>ROUND(AO79*Worksheet!$E$29,2)</f>
        <v>9.66</v>
      </c>
      <c r="BV79" s="192">
        <f>ROUND(AP79*Worksheet!$E$30,2)</f>
        <v>0</v>
      </c>
      <c r="BW79" s="192">
        <f>ROUND(IF($I79&lt;&gt;0,$BQ79*Worksheet!$E$28,0),2)</f>
        <v>0.52</v>
      </c>
      <c r="BX79" s="192">
        <f>ROUND(AE79*Worksheet!$E$31,2)</f>
        <v>0</v>
      </c>
      <c r="BY79" s="192">
        <f>ROUND(AF79*Worksheet!$E$32,2)</f>
        <v>0</v>
      </c>
      <c r="BZ79" s="192">
        <f>ROUND(AG79*Worksheet!$E$33,2)</f>
        <v>0</v>
      </c>
      <c r="CA79" s="192">
        <f>ROUND(ROUND(AH79*BQ79,2)*Worksheet!$E$34,2)</f>
        <v>2.83</v>
      </c>
      <c r="CB79" s="192">
        <f>ROUND(AI79*Worksheet!$E$35,2)</f>
        <v>0</v>
      </c>
      <c r="CC79" s="192">
        <f>ROUND(AJ79*Worksheet!$E$36,2)</f>
        <v>0</v>
      </c>
      <c r="CD79" s="192">
        <f>ROUND(AQ79*Worksheet!$E$38,2)</f>
        <v>0.79</v>
      </c>
      <c r="CE79" s="192">
        <f>ROUND(AR79*Worksheet!$E$39,2)</f>
        <v>0</v>
      </c>
      <c r="CF79" s="192">
        <f>IF(AND(L79&gt;275,SUM(Y79:AD79)&lt;100),ROUND(SUM(Y79:AD79)*Worksheet!$E$41,2),0)</f>
        <v>0</v>
      </c>
      <c r="CG79" s="192">
        <f>IF(AND(L79&gt;600,SUM(Y79:AD79)&lt;50),ROUND((50-SUM(Y79:AD79))*(Worksheet!$E$41+1),2),0)</f>
        <v>0</v>
      </c>
      <c r="CH79" s="192">
        <f t="shared" si="77"/>
        <v>296.77000000000004</v>
      </c>
      <c r="CI79" s="116">
        <f t="shared" si="95"/>
        <v>0</v>
      </c>
      <c r="CJ79" s="116">
        <f t="shared" si="96"/>
        <v>296.77000000000004</v>
      </c>
      <c r="CK79" s="95">
        <f t="shared" si="91"/>
        <v>1.2</v>
      </c>
      <c r="CL79" s="116">
        <f t="shared" si="97"/>
        <v>356.12</v>
      </c>
      <c r="CM79" s="116">
        <f t="shared" si="98"/>
        <v>356.12</v>
      </c>
      <c r="CN79" s="116">
        <f t="shared" si="92"/>
        <v>4142743.96</v>
      </c>
      <c r="CO79" s="131">
        <f>ROUND(IF(F79=4,0,(MAX(ROUND(MAX((BI79*MIN(CL79,K79)*Worksheet!$D$126)+MAX(CL79-K79,0)*Worksheet!$F$50,SUM(J79)),2),SUM(CN79))-SUM(CN79))*MinAdj),2)</f>
        <v>0</v>
      </c>
      <c r="CP79" s="192">
        <f t="shared" si="93"/>
        <v>4142743.96</v>
      </c>
      <c r="CQ79" s="131">
        <f>IF(CL79=0,0,-MIN(CP79,MIN(CP79,ROUND(IF(ROUND(IF(CL79=0,0,N79/CL79),2)&lt;STVPP*0.2,STVPP*0.2*CL79*Worksheet!$F$88/1000,N79*Worksheet!$F$88/1000),2))))</f>
        <v>-1009518.3</v>
      </c>
      <c r="CR79" s="193">
        <f>-MIN(SUM(CP79,CQ79),IF($P79=0,(ROUND(Worksheet!$E$77*S79,2)+ROUND(Worksheet!$E$78*T79,2)+ROUND(Worksheet!$E$79*U79,2)+ROUND(Worksheet!$E$80*V79,2)+ROUND(Worksheet!$E$81*W79,2)+ROUND(Worksheet!$E$82*X79,2)),(ROUND(ROUND(S79*ROUND((1-$O79/$P79),4),2)*Worksheet!$E$77,2)+ROUND(ROUND(T79*ROUND((1-$O79/$P79),4),2)*Worksheet!$E$78,2)+ROUND(ROUND(U79*ROUND((1-$O79/$P79),4),2)*Worksheet!$E$79,2)+ROUND(ROUND(V79*ROUND((1-$O79/$P79),4),2)*Worksheet!$E$80,2)+ROUND(ROUND(W79*ROUND((1-$O79/$P79),4),2)*Worksheet!$E$81,2)+ROUND(ROUND(X79*ROUND((1-$O79/$P79),4),2)*Worksheet!$E$82,2))))</f>
        <v>-73961.820000000007</v>
      </c>
      <c r="CS79" s="192">
        <f t="shared" si="78"/>
        <v>3059263.8400000003</v>
      </c>
      <c r="CT79" s="116">
        <f>ROUND(MIN(BA79,ROUND((ROUND(AS79*Worksheet!$E$104,2)+ROUND(AV79*Worksheet!$E$107,2)+ROUND(AT79*Worksheet!$E$105,2)+ROUND(AW79*Worksheet!$E$108,2)+ROUND(AU79*Worksheet!$E$106,2)+ROUND(AX79*Worksheet!$E$109,2)+ROUND(AY79*Worksheet!$E$110,2)+ROUND(AZ79*Worksheet!$E$111,2))*Worksheet!$D$114,2))*BaseRate,2)</f>
        <v>150647.35</v>
      </c>
      <c r="CU79" s="121">
        <v>53.29</v>
      </c>
      <c r="CV79" s="121">
        <v>0</v>
      </c>
      <c r="CW79" s="121">
        <v>0</v>
      </c>
      <c r="CX79" s="121">
        <v>0</v>
      </c>
      <c r="CY79" s="121">
        <v>0</v>
      </c>
      <c r="DA79" s="192">
        <f t="shared" si="79"/>
        <v>0</v>
      </c>
      <c r="DB79" s="192">
        <f>MAX(-CT79,MIN(0,ROUND($R79*EFBPercent+EFBAdd,2)-$Q79),MIN(0,SUM($CS79:CS79)+MIN(0,ROUND($R79*EFBPercent+EFBAdd,2)-$Q79)))</f>
        <v>0</v>
      </c>
      <c r="DC79" s="192">
        <f>IF(CU79&lt;0,0,MAX(-CU79,MIN(0,ROUND($R79*EFBPercent+EFBAdd,2)-$Q79),MIN(0,SUM($CS79:CT79)+MIN(0,ROUND($R79*EFBPercent+EFBAdd,2)-$Q79))))</f>
        <v>0</v>
      </c>
      <c r="DD79" s="192">
        <f>IF(CV79&lt;0,0,MAX(-CV79,MIN(0,ROUND($R79*EFBPercent+EFBAdd,2)-$Q79),MIN(0,SUM($CS79:CU79)+MIN(0,ROUND($R79*EFBPercent+EFBAdd,2)-$Q79))))</f>
        <v>0</v>
      </c>
      <c r="DE79" s="192">
        <f>IF(CW79&lt;0,0,MAX(-CW79,MIN(0,ROUND($R79*EFBPercent+EFBAdd,2)-$Q79),MIN(0,SUM($CS79:CV79)+MIN(0,ROUND($R79*EFBPercent+EFBAdd,2)-$Q79))))</f>
        <v>0</v>
      </c>
      <c r="DF79" s="192">
        <f>IF(CX79&lt;0,0,MAX(-CX79,MIN(0,ROUND($R79*EFBPercent+EFBAdd,2)-$Q79),MIN(0,SUM($CS79:CW79)+MIN(0,ROUND($R79*EFBPercent+EFBAdd,2)-$Q79))))</f>
        <v>0</v>
      </c>
      <c r="DG79" s="192">
        <f>MAX(-CY79,MIN(0,ROUND($R79*EFBPercent+EFBAdd,2)-$Q79),MIN(0,SUM($CS79:CX79)+MIN(0,ROUND($R79*EFBPercent+EFBAdd,2)-$Q79)))</f>
        <v>0</v>
      </c>
      <c r="DI79" s="73">
        <f t="shared" si="80"/>
        <v>3059263.8400000003</v>
      </c>
      <c r="DJ79" s="73">
        <f t="shared" si="81"/>
        <v>150647.35</v>
      </c>
      <c r="DK79" s="73">
        <f t="shared" si="82"/>
        <v>53.29</v>
      </c>
      <c r="DL79" s="73">
        <f t="shared" si="83"/>
        <v>0</v>
      </c>
      <c r="DM79" s="73">
        <f t="shared" si="84"/>
        <v>0</v>
      </c>
      <c r="DN79" s="73">
        <f t="shared" si="85"/>
        <v>0</v>
      </c>
      <c r="DO79" s="73">
        <f t="shared" si="86"/>
        <v>0</v>
      </c>
      <c r="DP79" s="73"/>
      <c r="DQ79" s="73"/>
    </row>
    <row r="80" spans="1:121" ht="10.199999999999999" x14ac:dyDescent="0.2">
      <c r="A80" s="4" t="s">
        <v>556</v>
      </c>
      <c r="B80" s="188">
        <v>1110</v>
      </c>
      <c r="C80" s="189" t="s">
        <v>82</v>
      </c>
      <c r="D80" s="4">
        <v>2027</v>
      </c>
      <c r="E80" s="4" t="s">
        <v>398</v>
      </c>
      <c r="F80" s="4">
        <v>1</v>
      </c>
      <c r="G80" s="4" t="s">
        <v>669</v>
      </c>
      <c r="H80" s="4">
        <v>0</v>
      </c>
      <c r="I80" s="4" t="s">
        <v>1152</v>
      </c>
      <c r="J80" s="5">
        <v>3025253.3</v>
      </c>
      <c r="K80" s="5">
        <v>286.63</v>
      </c>
      <c r="L80" s="5">
        <v>880</v>
      </c>
      <c r="M80" s="5">
        <v>0</v>
      </c>
      <c r="N80" s="5">
        <v>16122247</v>
      </c>
      <c r="O80" s="5">
        <v>32.01</v>
      </c>
      <c r="P80" s="5">
        <v>115.00999999999999</v>
      </c>
      <c r="Q80" s="5">
        <v>0</v>
      </c>
      <c r="R80" s="5">
        <v>0</v>
      </c>
      <c r="S80" s="5">
        <v>3800</v>
      </c>
      <c r="T80" s="5">
        <v>2849.83</v>
      </c>
      <c r="U80" s="5">
        <v>0</v>
      </c>
      <c r="V80" s="5">
        <v>4849.3499999999995</v>
      </c>
      <c r="W80" s="5">
        <v>3664.3500000000004</v>
      </c>
      <c r="X80" s="5">
        <v>17682.329999999998</v>
      </c>
      <c r="Y80" s="5">
        <v>0.88</v>
      </c>
      <c r="Z80" s="5">
        <v>15</v>
      </c>
      <c r="AA80" s="5">
        <v>118</v>
      </c>
      <c r="AB80" s="5">
        <v>29</v>
      </c>
      <c r="AC80" s="5">
        <v>58</v>
      </c>
      <c r="AD80" s="5">
        <v>0</v>
      </c>
      <c r="AE80" s="5">
        <v>0</v>
      </c>
      <c r="AF80" s="5">
        <v>0</v>
      </c>
      <c r="AG80" s="5">
        <v>1</v>
      </c>
      <c r="AH80" s="5">
        <v>0.378</v>
      </c>
      <c r="AI80" s="5">
        <v>0</v>
      </c>
      <c r="AJ80" s="5">
        <v>0</v>
      </c>
      <c r="AK80" s="5">
        <v>0</v>
      </c>
      <c r="AL80" s="5">
        <v>208.13</v>
      </c>
      <c r="AM80" s="5">
        <v>0</v>
      </c>
      <c r="AN80" s="5">
        <v>220</v>
      </c>
      <c r="AO80" s="5">
        <f t="shared" si="94"/>
        <v>0</v>
      </c>
      <c r="AP80" s="5">
        <f t="shared" si="99"/>
        <v>0</v>
      </c>
      <c r="AQ80" s="5">
        <v>1.5</v>
      </c>
      <c r="AR80" s="5">
        <v>0</v>
      </c>
      <c r="AS80" s="5">
        <v>0</v>
      </c>
      <c r="AT80" s="5">
        <v>148240</v>
      </c>
      <c r="AU80" s="5">
        <v>0</v>
      </c>
      <c r="AV80" s="5">
        <v>2040</v>
      </c>
      <c r="AW80" s="199">
        <v>880</v>
      </c>
      <c r="AX80" s="199">
        <v>1</v>
      </c>
      <c r="AY80" s="199">
        <v>0</v>
      </c>
      <c r="AZ80" s="199">
        <v>0</v>
      </c>
      <c r="BA80" s="5">
        <v>342577.63</v>
      </c>
      <c r="BB80" s="13">
        <v>972751.02</v>
      </c>
      <c r="BC80" s="190">
        <f>MAX(ROUND(IF(F80&lt;4,IF(H80=0,(SUM(Y80:AD80)*Worksheet!$E$26+Y80*Worksheet!$E$27+AR80*Worksheet!$E$39)*-BaseRate,0)),2),MIN(0,-DI80))</f>
        <v>-227856.04</v>
      </c>
      <c r="BD80" s="190">
        <f>MAX(ROUND(IF(F80=4,0,IF(I80=0,0,ROUND(SUM(Y80:AD80)*Worksheet!$E$28,2)*-BaseRate)),2),MIN(0,-DI80-BC80))</f>
        <v>-5118.5200000000004</v>
      </c>
      <c r="BE80" s="130">
        <f t="shared" si="87"/>
        <v>2526</v>
      </c>
      <c r="BF80" s="130">
        <f t="shared" si="88"/>
        <v>1412</v>
      </c>
      <c r="BG80" s="73"/>
      <c r="BH80" s="191">
        <f t="shared" si="89"/>
        <v>53293.16</v>
      </c>
      <c r="BI80" s="191">
        <f t="shared" si="90"/>
        <v>10554.56</v>
      </c>
      <c r="BJ80" s="232">
        <f>IFERROR(ROUND(IF(AND(BB80*1.12&lt;N80*60/1000,N80/CL80&lt;STVPP*0.2),(CL80*STVPP*0.2*Worksheet!$F$88/1000-BB80*1.12)*PropTaxAdj,IF(BB80*1.12&lt;N80*60/1000,(N80*60/1000-BB80*1.12)*PropTaxAdj,0)),2),0)</f>
        <v>0</v>
      </c>
      <c r="BK80" s="192">
        <f>ROUND(IF($F80=4,0,Y80*Worksheet!$E$16),2)</f>
        <v>0.88</v>
      </c>
      <c r="BL80" s="192">
        <f>ROUND(IF($F80=4,0,Z80*Worksheet!$E$17),2)</f>
        <v>15</v>
      </c>
      <c r="BM80" s="192">
        <f>ROUND(IF($F80=4,0,AA80*Worksheet!$E$18),2)</f>
        <v>118</v>
      </c>
      <c r="BN80" s="192">
        <f>ROUND(IF($F80=4,0,AB80*Worksheet!$E$19),2)</f>
        <v>29</v>
      </c>
      <c r="BO80" s="192">
        <f>ROUND(IF($F80=4,0,AC80*Worksheet!$E$20),2)</f>
        <v>58</v>
      </c>
      <c r="BP80" s="192">
        <f>ROUND(AD80*Worksheet!$E$21,2)</f>
        <v>0</v>
      </c>
      <c r="BQ80" s="192">
        <f t="shared" si="76"/>
        <v>220.88</v>
      </c>
      <c r="BR80" s="192">
        <f>ROUND(AD80*Worksheet!$E$25,2)</f>
        <v>0</v>
      </c>
      <c r="BS80" s="192">
        <f>ROUND(SUM(BQ80)*Worksheet!$E$26,2)</f>
        <v>19.440000000000001</v>
      </c>
      <c r="BT80" s="192">
        <f>ROUND(Y80*Worksheet!$E$27,2)</f>
        <v>0.15</v>
      </c>
      <c r="BU80" s="192">
        <f>ROUND(AO80*Worksheet!$E$29,2)</f>
        <v>0</v>
      </c>
      <c r="BV80" s="192">
        <f>ROUND(AP80*Worksheet!$E$30,2)</f>
        <v>0</v>
      </c>
      <c r="BW80" s="192">
        <f>ROUND(IF($I80&lt;&gt;0,$BQ80*Worksheet!$E$28,0),2)</f>
        <v>0.44</v>
      </c>
      <c r="BX80" s="192">
        <f>ROUND(AE80*Worksheet!$E$31,2)</f>
        <v>0</v>
      </c>
      <c r="BY80" s="192">
        <f>ROUND(AF80*Worksheet!$E$32,2)</f>
        <v>0</v>
      </c>
      <c r="BZ80" s="192">
        <f>ROUND(AG80*Worksheet!$E$33,2)</f>
        <v>7.0000000000000007E-2</v>
      </c>
      <c r="CA80" s="192">
        <f>ROUND(ROUND(AH80*BQ80,2)*Worksheet!$E$34,2)</f>
        <v>2.09</v>
      </c>
      <c r="CB80" s="192">
        <f>ROUND(AI80*Worksheet!$E$35,2)</f>
        <v>0</v>
      </c>
      <c r="CC80" s="192">
        <f>ROUND(AJ80*Worksheet!$E$36,2)</f>
        <v>0</v>
      </c>
      <c r="CD80" s="192">
        <f>ROUND(AQ80*Worksheet!$E$38,2)</f>
        <v>0.9</v>
      </c>
      <c r="CE80" s="192">
        <f>ROUND(AR80*Worksheet!$E$39,2)</f>
        <v>0</v>
      </c>
      <c r="CF80" s="192">
        <f>IF(AND(L80&gt;275,SUM(Y80:AD80)&lt;100),ROUND(SUM(Y80:AD80)*Worksheet!$E$41,2),0)</f>
        <v>0</v>
      </c>
      <c r="CG80" s="192">
        <f>IF(AND(L80&gt;600,SUM(Y80:AD80)&lt;50),ROUND((50-SUM(Y80:AD80))*(Worksheet!$E$41+1),2),0)</f>
        <v>0</v>
      </c>
      <c r="CH80" s="192">
        <f t="shared" si="77"/>
        <v>243.97</v>
      </c>
      <c r="CI80" s="116">
        <f t="shared" si="95"/>
        <v>0</v>
      </c>
      <c r="CJ80" s="116">
        <f t="shared" si="96"/>
        <v>243.97</v>
      </c>
      <c r="CK80" s="95">
        <f t="shared" si="91"/>
        <v>1.24</v>
      </c>
      <c r="CL80" s="116">
        <f t="shared" si="97"/>
        <v>302.52</v>
      </c>
      <c r="CM80" s="116">
        <f t="shared" si="98"/>
        <v>302.52</v>
      </c>
      <c r="CN80" s="116">
        <f t="shared" si="92"/>
        <v>3519215.16</v>
      </c>
      <c r="CO80" s="131">
        <f>ROUND(IF(F80=4,0,(MAX(ROUND(MAX((BI80*MIN(CL80,K80)*Worksheet!$D$126)+MAX(CL80-K80,0)*Worksheet!$F$50,SUM(J80)),2),SUM(CN80))-SUM(CN80))*MinAdj),2)</f>
        <v>0</v>
      </c>
      <c r="CP80" s="192">
        <f t="shared" si="93"/>
        <v>3519215.16</v>
      </c>
      <c r="CQ80" s="131">
        <f>IF(CL80=0,0,-MIN(CP80,MIN(CP80,ROUND(IF(ROUND(IF(CL80=0,0,N80/CL80),2)&lt;STVPP*0.2,STVPP*0.2*CL80*Worksheet!$F$88/1000,N80*Worksheet!$F$88/1000),2))))</f>
        <v>-967334.82</v>
      </c>
      <c r="CR80" s="193">
        <f>-MIN(SUM(CP80,CQ80),IF($P80=0,(ROUND(Worksheet!$E$77*S80,2)+ROUND(Worksheet!$E$78*T80,2)+ROUND(Worksheet!$E$79*U80,2)+ROUND(Worksheet!$E$80*V80,2)+ROUND(Worksheet!$E$81*W80,2)+ROUND(Worksheet!$E$82*X80,2)),(ROUND(ROUND(S80*ROUND((1-$O80/$P80),4),2)*Worksheet!$E$77,2)+ROUND(ROUND(T80*ROUND((1-$O80/$P80),4),2)*Worksheet!$E$78,2)+ROUND(ROUND(U80*ROUND((1-$O80/$P80),4),2)*Worksheet!$E$79,2)+ROUND(ROUND(V80*ROUND((1-$O80/$P80),4),2)*Worksheet!$E$80,2)+ROUND(ROUND(W80*ROUND((1-$O80/$P80),4),2)*Worksheet!$E$81,2)+ROUND(ROUND(X80*ROUND((1-$O80/$P80),4),2)*Worksheet!$E$82,2))))</f>
        <v>-17778.66</v>
      </c>
      <c r="CS80" s="192">
        <f t="shared" si="78"/>
        <v>2534101.6800000002</v>
      </c>
      <c r="CT80" s="116">
        <f>ROUND(MIN(BA80,ROUND((ROUND(AS80*Worksheet!$E$104,2)+ROUND(AV80*Worksheet!$E$107,2)+ROUND(AT80*Worksheet!$E$105,2)+ROUND(AW80*Worksheet!$E$108,2)+ROUND(AU80*Worksheet!$E$106,2)+ROUND(AX80*Worksheet!$E$109,2)+ROUND(AY80*Worksheet!$E$110,2)+ROUND(AZ80*Worksheet!$E$111,2))*Worksheet!$D$114,2))*BaseRate,2)</f>
        <v>207532.72</v>
      </c>
      <c r="CU80" s="121">
        <v>0</v>
      </c>
      <c r="CV80" s="121">
        <v>0</v>
      </c>
      <c r="CW80" s="121">
        <v>0</v>
      </c>
      <c r="CX80" s="121">
        <v>0</v>
      </c>
      <c r="CY80" s="121">
        <v>0</v>
      </c>
      <c r="DA80" s="192">
        <f t="shared" si="79"/>
        <v>0</v>
      </c>
      <c r="DB80" s="192">
        <f>MAX(-CT80,MIN(0,ROUND($R80*EFBPercent+EFBAdd,2)-$Q80),MIN(0,SUM($CS80:CS80)+MIN(0,ROUND($R80*EFBPercent+EFBAdd,2)-$Q80)))</f>
        <v>0</v>
      </c>
      <c r="DC80" s="192">
        <f>IF(CU80&lt;0,0,MAX(-CU80,MIN(0,ROUND($R80*EFBPercent+EFBAdd,2)-$Q80),MIN(0,SUM($CS80:CT80)+MIN(0,ROUND($R80*EFBPercent+EFBAdd,2)-$Q80))))</f>
        <v>0</v>
      </c>
      <c r="DD80" s="192">
        <f>IF(CV80&lt;0,0,MAX(-CV80,MIN(0,ROUND($R80*EFBPercent+EFBAdd,2)-$Q80),MIN(0,SUM($CS80:CU80)+MIN(0,ROUND($R80*EFBPercent+EFBAdd,2)-$Q80))))</f>
        <v>0</v>
      </c>
      <c r="DE80" s="192">
        <f>IF(CW80&lt;0,0,MAX(-CW80,MIN(0,ROUND($R80*EFBPercent+EFBAdd,2)-$Q80),MIN(0,SUM($CS80:CV80)+MIN(0,ROUND($R80*EFBPercent+EFBAdd,2)-$Q80))))</f>
        <v>0</v>
      </c>
      <c r="DF80" s="192">
        <f>IF(CX80&lt;0,0,MAX(-CX80,MIN(0,ROUND($R80*EFBPercent+EFBAdd,2)-$Q80),MIN(0,SUM($CS80:CW80)+MIN(0,ROUND($R80*EFBPercent+EFBAdd,2)-$Q80))))</f>
        <v>0</v>
      </c>
      <c r="DG80" s="192">
        <f>MAX(-CY80,MIN(0,ROUND($R80*EFBPercent+EFBAdd,2)-$Q80),MIN(0,SUM($CS80:CX80)+MIN(0,ROUND($R80*EFBPercent+EFBAdd,2)-$Q80)))</f>
        <v>0</v>
      </c>
      <c r="DI80" s="73">
        <f t="shared" si="80"/>
        <v>2534101.6800000002</v>
      </c>
      <c r="DJ80" s="73">
        <f t="shared" si="81"/>
        <v>207532.72</v>
      </c>
      <c r="DK80" s="73">
        <f t="shared" si="82"/>
        <v>0</v>
      </c>
      <c r="DL80" s="73">
        <f t="shared" si="83"/>
        <v>0</v>
      </c>
      <c r="DM80" s="73">
        <f t="shared" si="84"/>
        <v>0</v>
      </c>
      <c r="DN80" s="73">
        <f t="shared" si="85"/>
        <v>0</v>
      </c>
      <c r="DO80" s="73">
        <f t="shared" si="86"/>
        <v>0</v>
      </c>
      <c r="DP80" s="73"/>
      <c r="DQ80" s="73"/>
    </row>
    <row r="81" spans="1:121" ht="10.199999999999999" x14ac:dyDescent="0.2">
      <c r="A81" s="4" t="s">
        <v>557</v>
      </c>
      <c r="B81" s="188">
        <v>1117</v>
      </c>
      <c r="C81" s="189" t="s">
        <v>83</v>
      </c>
      <c r="D81" s="4">
        <v>2027</v>
      </c>
      <c r="E81" s="4" t="s">
        <v>399</v>
      </c>
      <c r="F81" s="4">
        <v>1</v>
      </c>
      <c r="G81" s="4" t="s">
        <v>680</v>
      </c>
      <c r="H81" s="4">
        <v>100</v>
      </c>
      <c r="I81" s="4" t="s">
        <v>1152</v>
      </c>
      <c r="J81" s="5">
        <v>3647598.7199999997</v>
      </c>
      <c r="K81" s="5">
        <v>342.76</v>
      </c>
      <c r="L81" s="5">
        <v>701.38</v>
      </c>
      <c r="M81" s="5">
        <v>0</v>
      </c>
      <c r="N81" s="5">
        <v>13226534</v>
      </c>
      <c r="O81" s="5">
        <v>0</v>
      </c>
      <c r="P81" s="5">
        <v>84.78</v>
      </c>
      <c r="Q81" s="5">
        <v>0</v>
      </c>
      <c r="R81" s="5">
        <v>0</v>
      </c>
      <c r="S81" s="5">
        <v>4725</v>
      </c>
      <c r="T81" s="5">
        <v>100782.36</v>
      </c>
      <c r="U81" s="5">
        <v>0</v>
      </c>
      <c r="V81" s="5">
        <v>600172.55000000005</v>
      </c>
      <c r="W81" s="5">
        <v>1639.83</v>
      </c>
      <c r="X81" s="5">
        <v>24950.21</v>
      </c>
      <c r="Y81" s="5">
        <v>6.43</v>
      </c>
      <c r="Z81" s="5">
        <v>14</v>
      </c>
      <c r="AA81" s="5">
        <v>101</v>
      </c>
      <c r="AB81" s="5">
        <v>42</v>
      </c>
      <c r="AC81" s="5">
        <v>87</v>
      </c>
      <c r="AD81" s="5">
        <v>0</v>
      </c>
      <c r="AE81" s="5">
        <v>0</v>
      </c>
      <c r="AF81" s="5">
        <v>0</v>
      </c>
      <c r="AG81" s="5">
        <v>0</v>
      </c>
      <c r="AH81" s="5">
        <v>0.441</v>
      </c>
      <c r="AI81" s="5">
        <v>0</v>
      </c>
      <c r="AJ81" s="5">
        <v>0</v>
      </c>
      <c r="AK81" s="5">
        <v>3.58</v>
      </c>
      <c r="AL81" s="5">
        <v>230.87</v>
      </c>
      <c r="AM81" s="5">
        <v>0</v>
      </c>
      <c r="AN81" s="5">
        <v>244</v>
      </c>
      <c r="AO81" s="5">
        <f t="shared" si="94"/>
        <v>0</v>
      </c>
      <c r="AP81" s="5">
        <f t="shared" si="99"/>
        <v>0</v>
      </c>
      <c r="AQ81" s="5">
        <v>2.1</v>
      </c>
      <c r="AR81" s="5">
        <v>0.13</v>
      </c>
      <c r="AS81" s="5">
        <v>0</v>
      </c>
      <c r="AT81" s="5">
        <v>147560</v>
      </c>
      <c r="AU81" s="5">
        <v>0</v>
      </c>
      <c r="AV81" s="5">
        <v>2720</v>
      </c>
      <c r="AW81" s="199">
        <v>701.38</v>
      </c>
      <c r="AX81" s="199">
        <v>1</v>
      </c>
      <c r="AY81" s="199">
        <v>0</v>
      </c>
      <c r="AZ81" s="199">
        <v>0</v>
      </c>
      <c r="BA81" s="5">
        <v>385079.55</v>
      </c>
      <c r="BB81" s="13">
        <v>788403.9</v>
      </c>
      <c r="BC81" s="190">
        <f>MAX(ROUND(IF(F81&lt;4,IF(H81=0,(SUM(Y81:AD81)*Worksheet!$E$26+Y81*Worksheet!$E$27+AR81*Worksheet!$E$39)*-BaseRate,0)),2),MIN(0,-DI81))</f>
        <v>0</v>
      </c>
      <c r="BD81" s="190">
        <f>MAX(ROUND(IF(F81=4,0,IF(I81=0,0,ROUND(SUM(Y81:AD81)*Worksheet!$E$28,2)*-BaseRate)),2),MIN(0,-DI81-BC81))</f>
        <v>-5816.5</v>
      </c>
      <c r="BE81" s="130">
        <f t="shared" si="87"/>
        <v>0</v>
      </c>
      <c r="BF81" s="130">
        <f t="shared" si="88"/>
        <v>1412</v>
      </c>
      <c r="BG81" s="73"/>
      <c r="BH81" s="191">
        <f t="shared" si="89"/>
        <v>40133.919999999998</v>
      </c>
      <c r="BI81" s="191">
        <f t="shared" si="90"/>
        <v>10641.84</v>
      </c>
      <c r="BJ81" s="232">
        <f>IFERROR(ROUND(IF(AND(BB81*1.12&lt;N81*60/1000,N81/CL81&lt;STVPP*0.2),(CL81*STVPP*0.2*Worksheet!$F$88/1000-BB81*1.12)*PropTaxAdj,IF(BB81*1.12&lt;N81*60/1000,(N81*60/1000-BB81*1.12)*PropTaxAdj,0)),2),0)</f>
        <v>0</v>
      </c>
      <c r="BK81" s="192">
        <f>ROUND(IF($F81=4,0,Y81*Worksheet!$E$16),2)</f>
        <v>6.43</v>
      </c>
      <c r="BL81" s="192">
        <f>ROUND(IF($F81=4,0,Z81*Worksheet!$E$17),2)</f>
        <v>14</v>
      </c>
      <c r="BM81" s="192">
        <f>ROUND(IF($F81=4,0,AA81*Worksheet!$E$18),2)</f>
        <v>101</v>
      </c>
      <c r="BN81" s="192">
        <f>ROUND(IF($F81=4,0,AB81*Worksheet!$E$19),2)</f>
        <v>42</v>
      </c>
      <c r="BO81" s="192">
        <f>ROUND(IF($F81=4,0,AC81*Worksheet!$E$20),2)</f>
        <v>87</v>
      </c>
      <c r="BP81" s="192">
        <f>ROUND(AD81*Worksheet!$E$21,2)</f>
        <v>0</v>
      </c>
      <c r="BQ81" s="192">
        <f t="shared" si="76"/>
        <v>250.43</v>
      </c>
      <c r="BR81" s="192">
        <f>ROUND(AD81*Worksheet!$E$25,2)</f>
        <v>0</v>
      </c>
      <c r="BS81" s="192">
        <f>ROUND(SUM(BQ81)*Worksheet!$E$26,2)</f>
        <v>22.04</v>
      </c>
      <c r="BT81" s="192">
        <f>ROUND(Y81*Worksheet!$E$27,2)</f>
        <v>1.0900000000000001</v>
      </c>
      <c r="BU81" s="192">
        <f>ROUND(AO81*Worksheet!$E$29,2)</f>
        <v>0</v>
      </c>
      <c r="BV81" s="192">
        <f>ROUND(AP81*Worksheet!$E$30,2)</f>
        <v>0</v>
      </c>
      <c r="BW81" s="192">
        <f>ROUND(IF($I81&lt;&gt;0,$BQ81*Worksheet!$E$28,0),2)</f>
        <v>0.5</v>
      </c>
      <c r="BX81" s="192">
        <f>ROUND(AE81*Worksheet!$E$31,2)</f>
        <v>0</v>
      </c>
      <c r="BY81" s="192">
        <f>ROUND(AF81*Worksheet!$E$32,2)</f>
        <v>0</v>
      </c>
      <c r="BZ81" s="192">
        <f>ROUND(AG81*Worksheet!$E$33,2)</f>
        <v>0</v>
      </c>
      <c r="CA81" s="192">
        <f>ROUND(ROUND(AH81*BQ81,2)*Worksheet!$E$34,2)</f>
        <v>2.76</v>
      </c>
      <c r="CB81" s="192">
        <f>ROUND(AI81*Worksheet!$E$35,2)</f>
        <v>0</v>
      </c>
      <c r="CC81" s="192">
        <f>ROUND(AJ81*Worksheet!$E$36,2)</f>
        <v>0</v>
      </c>
      <c r="CD81" s="192">
        <f>ROUND(AQ81*Worksheet!$E$38,2)</f>
        <v>1.26</v>
      </c>
      <c r="CE81" s="192">
        <f>ROUND(AR81*Worksheet!$E$39,2)</f>
        <v>0.13</v>
      </c>
      <c r="CF81" s="192">
        <f>IF(AND(L81&gt;275,SUM(Y81:AD81)&lt;100),ROUND(SUM(Y81:AD81)*Worksheet!$E$41,2),0)</f>
        <v>0</v>
      </c>
      <c r="CG81" s="192">
        <f>IF(AND(L81&gt;600,SUM(Y81:AD81)&lt;50),ROUND((50-SUM(Y81:AD81))*(Worksheet!$E$41+1),2),0)</f>
        <v>0</v>
      </c>
      <c r="CH81" s="192">
        <f t="shared" si="77"/>
        <v>278.20999999999998</v>
      </c>
      <c r="CI81" s="116">
        <f t="shared" si="95"/>
        <v>3.58</v>
      </c>
      <c r="CJ81" s="116">
        <f t="shared" si="96"/>
        <v>274.63</v>
      </c>
      <c r="CK81" s="95">
        <f t="shared" si="91"/>
        <v>1.2</v>
      </c>
      <c r="CL81" s="116">
        <f t="shared" si="97"/>
        <v>329.56</v>
      </c>
      <c r="CM81" s="116">
        <f t="shared" si="98"/>
        <v>333.14</v>
      </c>
      <c r="CN81" s="116">
        <f t="shared" si="92"/>
        <v>3875417.62</v>
      </c>
      <c r="CO81" s="131">
        <f>ROUND(IF(F81=4,0,(MAX(ROUND(MAX((BI81*MIN(CL81,K81)*Worksheet!$D$126)+MAX(CL81-K81,0)*Worksheet!$F$50,SUM(J81)),2),SUM(CN81))-SUM(CN81))*MinAdj),2)</f>
        <v>0</v>
      </c>
      <c r="CP81" s="192">
        <f t="shared" si="93"/>
        <v>3875417.62</v>
      </c>
      <c r="CQ81" s="131">
        <f>IF(CL81=0,0,-MIN(CP81,MIN(CP81,ROUND(IF(ROUND(IF(CL81=0,0,N81/CL81),2)&lt;STVPP*0.2,STVPP*0.2*CL81*Worksheet!$F$88/1000,N81*Worksheet!$F$88/1000),2))))</f>
        <v>-793592.04</v>
      </c>
      <c r="CR81" s="193">
        <f>-MIN(SUM(CP81,CQ81),IF($P81=0,(ROUND(Worksheet!$E$77*S81,2)+ROUND(Worksheet!$E$78*T81,2)+ROUND(Worksheet!$E$79*U81,2)+ROUND(Worksheet!$E$80*V81,2)+ROUND(Worksheet!$E$81*W81,2)+ROUND(Worksheet!$E$82*X81,2)),(ROUND(ROUND(S81*ROUND((1-$O81/$P81),4),2)*Worksheet!$E$77,2)+ROUND(ROUND(T81*ROUND((1-$O81/$P81),4),2)*Worksheet!$E$78,2)+ROUND(ROUND(U81*ROUND((1-$O81/$P81),4),2)*Worksheet!$E$79,2)+ROUND(ROUND(V81*ROUND((1-$O81/$P81),4),2)*Worksheet!$E$80,2)+ROUND(ROUND(W81*ROUND((1-$O81/$P81),4),2)*Worksheet!$E$81,2)+ROUND(ROUND(X81*ROUND((1-$O81/$P81),4),2)*Worksheet!$E$82,2))))</f>
        <v>-549202.46</v>
      </c>
      <c r="CS81" s="192">
        <f t="shared" si="78"/>
        <v>2532623.12</v>
      </c>
      <c r="CT81" s="116">
        <f>ROUND(MIN(BA81,ROUND((ROUND(AS81*Worksheet!$E$104,2)+ROUND(AV81*Worksheet!$E$107,2)+ROUND(AT81*Worksheet!$E$105,2)+ROUND(AW81*Worksheet!$E$108,2)+ROUND(AU81*Worksheet!$E$106,2)+ROUND(AX81*Worksheet!$E$109,2)+ROUND(AY81*Worksheet!$E$110,2)+ROUND(AZ81*Worksheet!$E$111,2))*Worksheet!$D$114,2))*BaseRate,2)</f>
        <v>211604.27</v>
      </c>
      <c r="CU81" s="121">
        <v>0</v>
      </c>
      <c r="CV81" s="121">
        <v>0</v>
      </c>
      <c r="CW81" s="121">
        <v>0</v>
      </c>
      <c r="CX81" s="121">
        <v>0</v>
      </c>
      <c r="CY81" s="121">
        <v>0</v>
      </c>
      <c r="DA81" s="192">
        <f t="shared" si="79"/>
        <v>0</v>
      </c>
      <c r="DB81" s="192">
        <f>MAX(-CT81,MIN(0,ROUND($R81*EFBPercent+EFBAdd,2)-$Q81),MIN(0,SUM($CS81:CS81)+MIN(0,ROUND($R81*EFBPercent+EFBAdd,2)-$Q81)))</f>
        <v>0</v>
      </c>
      <c r="DC81" s="192">
        <f>IF(CU81&lt;0,0,MAX(-CU81,MIN(0,ROUND($R81*EFBPercent+EFBAdd,2)-$Q81),MIN(0,SUM($CS81:CT81)+MIN(0,ROUND($R81*EFBPercent+EFBAdd,2)-$Q81))))</f>
        <v>0</v>
      </c>
      <c r="DD81" s="192">
        <f>IF(CV81&lt;0,0,MAX(-CV81,MIN(0,ROUND($R81*EFBPercent+EFBAdd,2)-$Q81),MIN(0,SUM($CS81:CU81)+MIN(0,ROUND($R81*EFBPercent+EFBAdd,2)-$Q81))))</f>
        <v>0</v>
      </c>
      <c r="DE81" s="192">
        <f>IF(CW81&lt;0,0,MAX(-CW81,MIN(0,ROUND($R81*EFBPercent+EFBAdd,2)-$Q81),MIN(0,SUM($CS81:CV81)+MIN(0,ROUND($R81*EFBPercent+EFBAdd,2)-$Q81))))</f>
        <v>0</v>
      </c>
      <c r="DF81" s="192">
        <f>IF(CX81&lt;0,0,MAX(-CX81,MIN(0,ROUND($R81*EFBPercent+EFBAdd,2)-$Q81),MIN(0,SUM($CS81:CW81)+MIN(0,ROUND($R81*EFBPercent+EFBAdd,2)-$Q81))))</f>
        <v>0</v>
      </c>
      <c r="DG81" s="192">
        <f>MAX(-CY81,MIN(0,ROUND($R81*EFBPercent+EFBAdd,2)-$Q81),MIN(0,SUM($CS81:CX81)+MIN(0,ROUND($R81*EFBPercent+EFBAdd,2)-$Q81)))</f>
        <v>0</v>
      </c>
      <c r="DI81" s="73">
        <f t="shared" si="80"/>
        <v>2532623.12</v>
      </c>
      <c r="DJ81" s="73">
        <f t="shared" si="81"/>
        <v>211604.27</v>
      </c>
      <c r="DK81" s="73">
        <f t="shared" si="82"/>
        <v>0</v>
      </c>
      <c r="DL81" s="73">
        <f t="shared" si="83"/>
        <v>0</v>
      </c>
      <c r="DM81" s="73">
        <f t="shared" si="84"/>
        <v>0</v>
      </c>
      <c r="DN81" s="73">
        <f t="shared" si="85"/>
        <v>0</v>
      </c>
      <c r="DO81" s="73">
        <f t="shared" si="86"/>
        <v>0</v>
      </c>
      <c r="DP81" s="73"/>
      <c r="DQ81" s="73"/>
    </row>
    <row r="82" spans="1:121" ht="10.199999999999999" x14ac:dyDescent="0.2">
      <c r="A82" s="4" t="s">
        <v>669</v>
      </c>
      <c r="B82" s="188">
        <v>2526</v>
      </c>
      <c r="C82" s="189" t="s">
        <v>188</v>
      </c>
      <c r="D82" s="4">
        <v>2027</v>
      </c>
      <c r="E82" s="4" t="s">
        <v>1055</v>
      </c>
      <c r="F82" s="4">
        <v>7</v>
      </c>
      <c r="G82" s="4" t="s">
        <v>669</v>
      </c>
      <c r="H82" s="4">
        <v>100</v>
      </c>
      <c r="I82" s="4">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f t="shared" si="94"/>
        <v>0</v>
      </c>
      <c r="AP82" s="5">
        <v>0</v>
      </c>
      <c r="AQ82" s="5">
        <v>0</v>
      </c>
      <c r="AR82" s="5">
        <v>0</v>
      </c>
      <c r="AS82" s="5">
        <v>0</v>
      </c>
      <c r="AT82" s="5">
        <v>0</v>
      </c>
      <c r="AU82" s="5">
        <v>0</v>
      </c>
      <c r="AV82" s="5">
        <v>0</v>
      </c>
      <c r="AW82" s="199">
        <v>0</v>
      </c>
      <c r="AX82" s="199">
        <v>0</v>
      </c>
      <c r="AY82" s="199">
        <v>0</v>
      </c>
      <c r="AZ82" s="199">
        <v>0</v>
      </c>
      <c r="BA82" s="5">
        <v>0</v>
      </c>
      <c r="BB82" s="13">
        <v>0</v>
      </c>
      <c r="BC82" s="190">
        <f>MAX(ROUND(IF(F82&lt;4,IF(H82=0,(SUM(Y82:AD82)*Worksheet!$E$26+Y82*Worksheet!$E$27+AR82*Worksheet!$E$39)*-BaseRate,0)),2),MIN(0,-DI82))</f>
        <v>0</v>
      </c>
      <c r="BD82" s="190">
        <f>MAX(ROUND(IF(F82=4,0,IF(I82=0,0,ROUND(SUM(Y82:AD82)*Worksheet!$E$28,2)*-BaseRate)),2),MIN(0,-DI82-BC82))</f>
        <v>0</v>
      </c>
      <c r="BE82" s="130">
        <f t="shared" si="87"/>
        <v>0</v>
      </c>
      <c r="BF82" s="130">
        <f t="shared" si="88"/>
        <v>0</v>
      </c>
      <c r="BG82" s="73"/>
      <c r="BH82" s="191">
        <f t="shared" si="89"/>
        <v>0</v>
      </c>
      <c r="BI82" s="191">
        <f t="shared" si="90"/>
        <v>0</v>
      </c>
      <c r="BJ82" s="232">
        <f>IFERROR(ROUND(IF(AND(BB82*1.12&lt;N82*60/1000,N82/CL82&lt;STVPP*0.2),(CL82*STVPP*0.2*Worksheet!$F$88/1000-BB82*1.12)*PropTaxAdj,IF(BB82*1.12&lt;N82*60/1000,(N82*60/1000-BB82*1.12)*PropTaxAdj,0)),2),0)</f>
        <v>0</v>
      </c>
      <c r="BK82" s="192">
        <f>ROUND(IF($F82=4,0,Y82*Worksheet!$E$16),2)</f>
        <v>0</v>
      </c>
      <c r="BL82" s="192">
        <f>ROUND(IF($F82=4,0,Z82*Worksheet!$E$17),2)</f>
        <v>0</v>
      </c>
      <c r="BM82" s="192">
        <f>ROUND(IF($F82=4,0,AA82*Worksheet!$E$18),2)</f>
        <v>0</v>
      </c>
      <c r="BN82" s="192">
        <f>ROUND(IF($F82=4,0,AB82*Worksheet!$E$19),2)</f>
        <v>0</v>
      </c>
      <c r="BO82" s="192">
        <f>ROUND(IF($F82=4,0,AC82*Worksheet!$E$20),2)</f>
        <v>0</v>
      </c>
      <c r="BP82" s="192">
        <f>ROUND(AD82*Worksheet!$E$21,2)</f>
        <v>0</v>
      </c>
      <c r="BQ82" s="192">
        <f t="shared" si="76"/>
        <v>0</v>
      </c>
      <c r="BR82" s="192">
        <f>ROUND(AD82*Worksheet!$E$25,2)</f>
        <v>0</v>
      </c>
      <c r="BS82" s="192">
        <f>ROUND(SUM(BQ82)*Worksheet!$E$26,2)</f>
        <v>0</v>
      </c>
      <c r="BT82" s="192">
        <f>ROUND(Y82*Worksheet!$E$27,2)</f>
        <v>0</v>
      </c>
      <c r="BU82" s="192">
        <f>ROUND(AO82*Worksheet!$E$29,2)</f>
        <v>0</v>
      </c>
      <c r="BV82" s="192">
        <f>ROUND(AP82*Worksheet!$E$30,2)</f>
        <v>0</v>
      </c>
      <c r="BW82" s="192">
        <f>ROUND(IF($I82&lt;&gt;0,$BQ82*Worksheet!$E$28,0),2)</f>
        <v>0</v>
      </c>
      <c r="BX82" s="192">
        <f>ROUND(AE82*Worksheet!$E$31,2)</f>
        <v>0</v>
      </c>
      <c r="BY82" s="192">
        <f>ROUND(AF82*Worksheet!$E$32,2)</f>
        <v>0</v>
      </c>
      <c r="BZ82" s="192">
        <f>ROUND(AG82*Worksheet!$E$33,2)</f>
        <v>0</v>
      </c>
      <c r="CA82" s="192">
        <f>ROUND(ROUND(AH82*BQ82,2)*Worksheet!$E$34,2)</f>
        <v>0</v>
      </c>
      <c r="CB82" s="192">
        <f>ROUND(AI82*Worksheet!$E$35,2)</f>
        <v>0</v>
      </c>
      <c r="CC82" s="192">
        <f>ROUND(AJ82*Worksheet!$E$36,2)</f>
        <v>0</v>
      </c>
      <c r="CD82" s="192">
        <f>ROUND(AQ82*Worksheet!$E$38,2)</f>
        <v>0</v>
      </c>
      <c r="CE82" s="192">
        <f>ROUND(AR82*Worksheet!$E$39,2)</f>
        <v>0</v>
      </c>
      <c r="CF82" s="192">
        <f>IF(AND(L82&gt;275,SUM(Y82:AD82)&lt;100),ROUND(SUM(Y82:AD82)*Worksheet!$E$41,2),0)</f>
        <v>0</v>
      </c>
      <c r="CG82" s="192">
        <f>IF(AND(L82&gt;600,SUM(Y82:AD82)&lt;50),ROUND((50-SUM(Y82:AD82))*(Worksheet!$E$41+1),2),0)</f>
        <v>0</v>
      </c>
      <c r="CH82" s="192">
        <f t="shared" si="77"/>
        <v>0</v>
      </c>
      <c r="CI82" s="116">
        <f t="shared" si="95"/>
        <v>0</v>
      </c>
      <c r="CJ82" s="116">
        <f t="shared" si="96"/>
        <v>0</v>
      </c>
      <c r="CK82" s="95">
        <f t="shared" si="91"/>
        <v>0</v>
      </c>
      <c r="CL82" s="116">
        <f t="shared" si="97"/>
        <v>0</v>
      </c>
      <c r="CM82" s="116">
        <f t="shared" si="98"/>
        <v>0</v>
      </c>
      <c r="CN82" s="116">
        <f t="shared" si="92"/>
        <v>0</v>
      </c>
      <c r="CO82" s="131">
        <f>ROUND(IF(F82=4,0,(MAX(ROUND(MAX((BI82*MIN(CL82,K82)*Worksheet!$D$126)+MAX(CL82-K82,0)*Worksheet!$F$50,SUM(J82)),2),SUM(CN82))-SUM(CN82))*MinAdj),2)</f>
        <v>0</v>
      </c>
      <c r="CP82" s="192">
        <f t="shared" si="93"/>
        <v>0</v>
      </c>
      <c r="CQ82" s="131">
        <f>IF(CL82=0,0,-MIN(CP82,MIN(CP82,ROUND(IF(ROUND(IF(CL82=0,0,N82/CL82),2)&lt;STVPP*0.2,STVPP*0.2*CL82*Worksheet!$F$88/1000,N82*Worksheet!$F$88/1000),2))))</f>
        <v>0</v>
      </c>
      <c r="CR82" s="193">
        <f>-MIN(SUM(CP82,CQ82),IF($P82=0,(ROUND(Worksheet!$E$77*S82,2)+ROUND(Worksheet!$E$78*T82,2)+ROUND(Worksheet!$E$79*U82,2)+ROUND(Worksheet!$E$80*V82,2)+ROUND(Worksheet!$E$81*W82,2)+ROUND(Worksheet!$E$82*X82,2)),(ROUND(ROUND(S82*ROUND((1-$O82/$P82),4),2)*Worksheet!$E$77,2)+ROUND(ROUND(T82*ROUND((1-$O82/$P82),4),2)*Worksheet!$E$78,2)+ROUND(ROUND(U82*ROUND((1-$O82/$P82),4),2)*Worksheet!$E$79,2)+ROUND(ROUND(V82*ROUND((1-$O82/$P82),4),2)*Worksheet!$E$80,2)+ROUND(ROUND(W82*ROUND((1-$O82/$P82),4),2)*Worksheet!$E$81,2)+ROUND(ROUND(X82*ROUND((1-$O82/$P82),4),2)*Worksheet!$E$82,2))))</f>
        <v>0</v>
      </c>
      <c r="CS82" s="192">
        <f t="shared" si="78"/>
        <v>0</v>
      </c>
      <c r="CT82" s="116">
        <f>ROUND(MIN(BA82,ROUND((ROUND(AS82*Worksheet!$E$104,2)+ROUND(AV82*Worksheet!$E$107,2)+ROUND(AT82*Worksheet!$E$105,2)+ROUND(AW82*Worksheet!$E$108,2)+ROUND(AU82*Worksheet!$E$106,2)+ROUND(AX82*Worksheet!$E$109,2)+ROUND(AY82*Worksheet!$E$110,2)+ROUND(AZ82*Worksheet!$E$111,2))*Worksheet!$D$114,2))*BaseRate,2)</f>
        <v>0</v>
      </c>
      <c r="CU82" s="121">
        <v>0</v>
      </c>
      <c r="CV82" s="121">
        <v>0</v>
      </c>
      <c r="CW82" s="121">
        <v>0</v>
      </c>
      <c r="CX82" s="121">
        <v>0</v>
      </c>
      <c r="CY82" s="121">
        <v>0</v>
      </c>
      <c r="DA82" s="192">
        <f t="shared" si="79"/>
        <v>0</v>
      </c>
      <c r="DB82" s="192">
        <f>MAX(-CT82,MIN(0,ROUND($R82*EFBPercent+EFBAdd,2)-$Q82),MIN(0,SUM($CS82:CS82)+MIN(0,ROUND($R82*EFBPercent+EFBAdd,2)-$Q82)))</f>
        <v>0</v>
      </c>
      <c r="DC82" s="192">
        <f>IF(CU82&lt;0,0,MAX(-CU82,MIN(0,ROUND($R82*EFBPercent+EFBAdd,2)-$Q82),MIN(0,SUM($CS82:CT82)+MIN(0,ROUND($R82*EFBPercent+EFBAdd,2)-$Q82))))</f>
        <v>0</v>
      </c>
      <c r="DD82" s="192">
        <f>IF(CV82&lt;0,0,MAX(-CV82,MIN(0,ROUND($R82*EFBPercent+EFBAdd,2)-$Q82),MIN(0,SUM($CS82:CU82)+MIN(0,ROUND($R82*EFBPercent+EFBAdd,2)-$Q82))))</f>
        <v>0</v>
      </c>
      <c r="DE82" s="192">
        <f>IF(CW82&lt;0,0,MAX(-CW82,MIN(0,ROUND($R82*EFBPercent+EFBAdd,2)-$Q82),MIN(0,SUM($CS82:CV82)+MIN(0,ROUND($R82*EFBPercent+EFBAdd,2)-$Q82))))</f>
        <v>0</v>
      </c>
      <c r="DF82" s="192">
        <f>IF(CX82&lt;0,0,MAX(-CX82,MIN(0,ROUND($R82*EFBPercent+EFBAdd,2)-$Q82),MIN(0,SUM($CS82:CW82)+MIN(0,ROUND($R82*EFBPercent+EFBAdd,2)-$Q82))))</f>
        <v>0</v>
      </c>
      <c r="DG82" s="192">
        <f>MAX(-CY82,MIN(0,ROUND($R82*EFBPercent+EFBAdd,2)-$Q82),MIN(0,SUM($CS82:CX82)+MIN(0,ROUND($R82*EFBPercent+EFBAdd,2)-$Q82)))</f>
        <v>0</v>
      </c>
      <c r="DI82" s="73">
        <f t="shared" si="80"/>
        <v>0</v>
      </c>
      <c r="DJ82" s="73">
        <f t="shared" si="81"/>
        <v>0</v>
      </c>
      <c r="DK82" s="73">
        <f t="shared" si="82"/>
        <v>0</v>
      </c>
      <c r="DL82" s="73">
        <f t="shared" si="83"/>
        <v>0</v>
      </c>
      <c r="DM82" s="73">
        <f t="shared" si="84"/>
        <v>0</v>
      </c>
      <c r="DN82" s="73">
        <f t="shared" si="85"/>
        <v>0</v>
      </c>
      <c r="DO82" s="73">
        <f t="shared" si="86"/>
        <v>0</v>
      </c>
      <c r="DP82" s="73"/>
      <c r="DQ82" s="73"/>
    </row>
    <row r="83" spans="1:121" ht="10.199999999999999" x14ac:dyDescent="0.2">
      <c r="A83" s="4" t="s">
        <v>799</v>
      </c>
      <c r="B83" s="188">
        <v>1072</v>
      </c>
      <c r="C83" s="189" t="s">
        <v>802</v>
      </c>
      <c r="D83" s="4">
        <v>2027</v>
      </c>
      <c r="E83" s="4" t="s">
        <v>957</v>
      </c>
      <c r="F83" s="4">
        <v>1</v>
      </c>
      <c r="G83" s="4" t="s">
        <v>670</v>
      </c>
      <c r="H83" s="4">
        <v>100</v>
      </c>
      <c r="I83" s="4" t="s">
        <v>1091</v>
      </c>
      <c r="J83" s="5">
        <v>4022864.3</v>
      </c>
      <c r="K83" s="5">
        <v>417.05</v>
      </c>
      <c r="L83" s="5">
        <v>1321</v>
      </c>
      <c r="M83" s="5">
        <v>0</v>
      </c>
      <c r="N83" s="5">
        <v>25112837</v>
      </c>
      <c r="O83" s="5">
        <v>0</v>
      </c>
      <c r="P83" s="5">
        <v>88</v>
      </c>
      <c r="Q83" s="5">
        <v>0</v>
      </c>
      <c r="R83" s="5">
        <v>0</v>
      </c>
      <c r="S83" s="5">
        <v>18112.899999999998</v>
      </c>
      <c r="T83" s="5">
        <v>12.160000000000002</v>
      </c>
      <c r="U83" s="5">
        <v>0</v>
      </c>
      <c r="V83" s="5">
        <v>45119.38</v>
      </c>
      <c r="W83" s="5">
        <v>11756.080000000002</v>
      </c>
      <c r="X83" s="5">
        <v>44381.4</v>
      </c>
      <c r="Y83" s="5">
        <v>0.54</v>
      </c>
      <c r="Z83" s="5">
        <v>29</v>
      </c>
      <c r="AA83" s="5">
        <v>173</v>
      </c>
      <c r="AB83" s="5">
        <v>54</v>
      </c>
      <c r="AC83" s="5">
        <v>108</v>
      </c>
      <c r="AD83" s="5">
        <v>0</v>
      </c>
      <c r="AE83" s="5">
        <v>0</v>
      </c>
      <c r="AF83" s="5">
        <v>0</v>
      </c>
      <c r="AG83" s="5">
        <v>3</v>
      </c>
      <c r="AH83" s="5">
        <v>0.374</v>
      </c>
      <c r="AI83" s="5">
        <v>0</v>
      </c>
      <c r="AJ83" s="5">
        <v>0</v>
      </c>
      <c r="AK83" s="5">
        <v>0</v>
      </c>
      <c r="AL83" s="5">
        <v>356</v>
      </c>
      <c r="AM83" s="5">
        <v>11.100000000000023</v>
      </c>
      <c r="AN83" s="5">
        <v>364</v>
      </c>
      <c r="AO83" s="5">
        <f t="shared" si="94"/>
        <v>0</v>
      </c>
      <c r="AP83" s="5">
        <f t="shared" ref="AP83:AP88" si="100">IF(AM83&gt;0,SUM(Z83:AD83)-AN83,0)</f>
        <v>0</v>
      </c>
      <c r="AQ83" s="5">
        <v>8.2100000000000009</v>
      </c>
      <c r="AR83" s="5">
        <v>0.06</v>
      </c>
      <c r="AS83" s="5">
        <v>0</v>
      </c>
      <c r="AT83" s="5">
        <v>281048</v>
      </c>
      <c r="AU83" s="5">
        <v>0</v>
      </c>
      <c r="AV83" s="5">
        <v>3440</v>
      </c>
      <c r="AW83" s="199">
        <v>1321</v>
      </c>
      <c r="AX83" s="199">
        <v>1</v>
      </c>
      <c r="AY83" s="199">
        <v>0</v>
      </c>
      <c r="AZ83" s="199">
        <v>0</v>
      </c>
      <c r="BA83" s="5">
        <v>584068.18000000005</v>
      </c>
      <c r="BB83" s="13">
        <v>1469652.72</v>
      </c>
      <c r="BC83" s="190">
        <f>MAX(ROUND(IF(F83&lt;4,IF(H83=0,(SUM(Y83:AD83)*Worksheet!$E$26+Y83*Worksheet!$E$27+AR83*Worksheet!$E$39)*-BaseRate,0)),2),MIN(0,-DI83))</f>
        <v>0</v>
      </c>
      <c r="BD83" s="190">
        <f>MAX(ROUND(IF(F83=4,0,IF(I83=0,0,ROUND(SUM(Y83:AD83)*Worksheet!$E$28,2)*-BaseRate)),2),MIN(0,-DI83-BC83))</f>
        <v>-8492.09</v>
      </c>
      <c r="BE83" s="130">
        <f t="shared" si="87"/>
        <v>0</v>
      </c>
      <c r="BF83" s="130">
        <f t="shared" si="88"/>
        <v>1403</v>
      </c>
      <c r="BG83" s="73"/>
      <c r="BH83" s="191">
        <f t="shared" si="89"/>
        <v>58346.31</v>
      </c>
      <c r="BI83" s="191">
        <f t="shared" si="90"/>
        <v>9646</v>
      </c>
      <c r="BJ83" s="232">
        <f>IFERROR(ROUND(IF(AND(BB83*1.12&lt;N83*60/1000,N83/CL83&lt;STVPP*0.2),(CL83*STVPP*0.2*Worksheet!$F$88/1000-BB83*1.12)*PropTaxAdj,IF(BB83*1.12&lt;N83*60/1000,(N83*60/1000-BB83*1.12)*PropTaxAdj,0)),2),0)</f>
        <v>0</v>
      </c>
      <c r="BK83" s="192">
        <f>ROUND(IF($F83=4,0,Y83*Worksheet!$E$16),2)</f>
        <v>0.54</v>
      </c>
      <c r="BL83" s="192">
        <f>ROUND(IF($F83=4,0,Z83*Worksheet!$E$17),2)</f>
        <v>29</v>
      </c>
      <c r="BM83" s="192">
        <f>ROUND(IF($F83=4,0,AA83*Worksheet!$E$18),2)</f>
        <v>173</v>
      </c>
      <c r="BN83" s="192">
        <f>ROUND(IF($F83=4,0,AB83*Worksheet!$E$19),2)</f>
        <v>54</v>
      </c>
      <c r="BO83" s="192">
        <f>ROUND(IF($F83=4,0,AC83*Worksheet!$E$20),2)</f>
        <v>108</v>
      </c>
      <c r="BP83" s="192">
        <f>ROUND(AD83*Worksheet!$E$21,2)</f>
        <v>0</v>
      </c>
      <c r="BQ83" s="192">
        <f t="shared" si="76"/>
        <v>364.53999999999996</v>
      </c>
      <c r="BR83" s="192">
        <f>ROUND(AD83*Worksheet!$E$25,2)</f>
        <v>0</v>
      </c>
      <c r="BS83" s="192">
        <f>ROUND(SUM(BQ83)*Worksheet!$E$26,2)</f>
        <v>32.08</v>
      </c>
      <c r="BT83" s="192">
        <f>ROUND(Y83*Worksheet!$E$27,2)</f>
        <v>0.09</v>
      </c>
      <c r="BU83" s="192">
        <f>ROUND(AO83*Worksheet!$E$29,2)</f>
        <v>0</v>
      </c>
      <c r="BV83" s="192">
        <f>ROUND(AP83*Worksheet!$E$30,2)</f>
        <v>0</v>
      </c>
      <c r="BW83" s="192">
        <f>ROUND(IF($I83&lt;&gt;0,$BQ83*Worksheet!$E$28,0),2)</f>
        <v>0.73</v>
      </c>
      <c r="BX83" s="192">
        <f>ROUND(AE83*Worksheet!$E$31,2)</f>
        <v>0</v>
      </c>
      <c r="BY83" s="192">
        <f>ROUND(AF83*Worksheet!$E$32,2)</f>
        <v>0</v>
      </c>
      <c r="BZ83" s="192">
        <f>ROUND(AG83*Worksheet!$E$33,2)</f>
        <v>0.21</v>
      </c>
      <c r="CA83" s="192">
        <f>ROUND(ROUND(AH83*BQ83,2)*Worksheet!$E$34,2)</f>
        <v>3.41</v>
      </c>
      <c r="CB83" s="192">
        <f>ROUND(AI83*Worksheet!$E$35,2)</f>
        <v>0</v>
      </c>
      <c r="CC83" s="192">
        <f>ROUND(AJ83*Worksheet!$E$36,2)</f>
        <v>0</v>
      </c>
      <c r="CD83" s="192">
        <f>ROUND(AQ83*Worksheet!$E$38,2)</f>
        <v>4.93</v>
      </c>
      <c r="CE83" s="192">
        <f>ROUND(AR83*Worksheet!$E$39,2)</f>
        <v>0.06</v>
      </c>
      <c r="CF83" s="192">
        <f>IF(AND(L83&gt;275,SUM(Y83:AD83)&lt;100),ROUND(SUM(Y83:AD83)*Worksheet!$E$41,2),0)</f>
        <v>0</v>
      </c>
      <c r="CG83" s="192">
        <f>IF(AND(L83&gt;600,SUM(Y83:AD83)&lt;50),ROUND((50-SUM(Y83:AD83))*(Worksheet!$E$41+1),2),0)</f>
        <v>0</v>
      </c>
      <c r="CH83" s="192">
        <f t="shared" si="77"/>
        <v>406.04999999999995</v>
      </c>
      <c r="CI83" s="116">
        <f t="shared" si="95"/>
        <v>0</v>
      </c>
      <c r="CJ83" s="116">
        <f t="shared" si="96"/>
        <v>406.04999999999995</v>
      </c>
      <c r="CK83" s="95">
        <f t="shared" si="91"/>
        <v>1.06</v>
      </c>
      <c r="CL83" s="116">
        <f t="shared" si="97"/>
        <v>430.41</v>
      </c>
      <c r="CM83" s="116">
        <f t="shared" si="98"/>
        <v>430.41</v>
      </c>
      <c r="CN83" s="116">
        <f t="shared" si="92"/>
        <v>5006959.53</v>
      </c>
      <c r="CO83" s="131">
        <f>ROUND(IF(F83=4,0,(MAX(ROUND(MAX((BI83*MIN(CL83,K83)*Worksheet!$D$126)+MAX(CL83-K83,0)*Worksheet!$F$50,SUM(J83)),2),SUM(CN83))-SUM(CN83))*MinAdj),2)</f>
        <v>0</v>
      </c>
      <c r="CP83" s="192">
        <f t="shared" si="93"/>
        <v>5006959.53</v>
      </c>
      <c r="CQ83" s="131">
        <f>IF(CL83=0,0,-MIN(CP83,MIN(CP83,ROUND(IF(ROUND(IF(CL83=0,0,N83/CL83),2)&lt;STVPP*0.2,STVPP*0.2*CL83*Worksheet!$F$88/1000,N83*Worksheet!$F$88/1000),2))))</f>
        <v>-1506770.22</v>
      </c>
      <c r="CR83" s="193">
        <f>-MIN(SUM(CP83,CQ83),IF($P83=0,(ROUND(Worksheet!$E$77*S83,2)+ROUND(Worksheet!$E$78*T83,2)+ROUND(Worksheet!$E$79*U83,2)+ROUND(Worksheet!$E$80*V83,2)+ROUND(Worksheet!$E$81*W83,2)+ROUND(Worksheet!$E$82*X83,2)),(ROUND(ROUND(S83*ROUND((1-$O83/$P83),4),2)*Worksheet!$E$77,2)+ROUND(ROUND(T83*ROUND((1-$O83/$P83),4),2)*Worksheet!$E$78,2)+ROUND(ROUND(U83*ROUND((1-$O83/$P83),4),2)*Worksheet!$E$79,2)+ROUND(ROUND(V83*ROUND((1-$O83/$P83),4),2)*Worksheet!$E$80,2)+ROUND(ROUND(W83*ROUND((1-$O83/$P83),4),2)*Worksheet!$E$81,2)+ROUND(ROUND(X83*ROUND((1-$O83/$P83),4),2)*Worksheet!$E$82,2))))</f>
        <v>-89536.450000000012</v>
      </c>
      <c r="CS83" s="192">
        <f t="shared" si="78"/>
        <v>3410652.8600000003</v>
      </c>
      <c r="CT83" s="116">
        <f>ROUND(MIN(BA83,ROUND((ROUND(AS83*Worksheet!$E$104,2)+ROUND(AV83*Worksheet!$E$107,2)+ROUND(AT83*Worksheet!$E$105,2)+ROUND(AW83*Worksheet!$E$108,2)+ROUND(AU83*Worksheet!$E$106,2)+ROUND(AX83*Worksheet!$E$109,2)+ROUND(AY83*Worksheet!$E$110,2)+ROUND(AZ83*Worksheet!$E$111,2))*Worksheet!$D$114,2))*BaseRate,2)</f>
        <v>382609.37</v>
      </c>
      <c r="CU83" s="121">
        <v>0</v>
      </c>
      <c r="CV83" s="121">
        <v>0</v>
      </c>
      <c r="CW83" s="121">
        <v>0</v>
      </c>
      <c r="CX83" s="121">
        <v>0</v>
      </c>
      <c r="CY83" s="121">
        <v>0</v>
      </c>
      <c r="DA83" s="192">
        <f t="shared" si="79"/>
        <v>0</v>
      </c>
      <c r="DB83" s="192">
        <f>MAX(-CT83,MIN(0,ROUND($R83*EFBPercent+EFBAdd,2)-$Q83),MIN(0,SUM($CS83:CS83)+MIN(0,ROUND($R83*EFBPercent+EFBAdd,2)-$Q83)))</f>
        <v>0</v>
      </c>
      <c r="DC83" s="192">
        <f>IF(CU83&lt;0,0,MAX(-CU83,MIN(0,ROUND($R83*EFBPercent+EFBAdd,2)-$Q83),MIN(0,SUM($CS83:CT83)+MIN(0,ROUND($R83*EFBPercent+EFBAdd,2)-$Q83))))</f>
        <v>0</v>
      </c>
      <c r="DD83" s="192">
        <f>IF(CV83&lt;0,0,MAX(-CV83,MIN(0,ROUND($R83*EFBPercent+EFBAdd,2)-$Q83),MIN(0,SUM($CS83:CU83)+MIN(0,ROUND($R83*EFBPercent+EFBAdd,2)-$Q83))))</f>
        <v>0</v>
      </c>
      <c r="DE83" s="192">
        <f>IF(CW83&lt;0,0,MAX(-CW83,MIN(0,ROUND($R83*EFBPercent+EFBAdd,2)-$Q83),MIN(0,SUM($CS83:CV83)+MIN(0,ROUND($R83*EFBPercent+EFBAdd,2)-$Q83))))</f>
        <v>0</v>
      </c>
      <c r="DF83" s="192">
        <f>IF(CX83&lt;0,0,MAX(-CX83,MIN(0,ROUND($R83*EFBPercent+EFBAdd,2)-$Q83),MIN(0,SUM($CS83:CW83)+MIN(0,ROUND($R83*EFBPercent+EFBAdd,2)-$Q83))))</f>
        <v>0</v>
      </c>
      <c r="DG83" s="192">
        <f>MAX(-CY83,MIN(0,ROUND($R83*EFBPercent+EFBAdd,2)-$Q83),MIN(0,SUM($CS83:CX83)+MIN(0,ROUND($R83*EFBPercent+EFBAdd,2)-$Q83)))</f>
        <v>0</v>
      </c>
      <c r="DI83" s="73">
        <f t="shared" si="80"/>
        <v>3410652.8600000003</v>
      </c>
      <c r="DJ83" s="73">
        <f t="shared" si="81"/>
        <v>382609.37</v>
      </c>
      <c r="DK83" s="73">
        <f t="shared" si="82"/>
        <v>0</v>
      </c>
      <c r="DL83" s="73">
        <f t="shared" si="83"/>
        <v>0</v>
      </c>
      <c r="DM83" s="73">
        <f t="shared" si="84"/>
        <v>0</v>
      </c>
      <c r="DN83" s="73">
        <f t="shared" si="85"/>
        <v>0</v>
      </c>
      <c r="DO83" s="73">
        <f t="shared" si="86"/>
        <v>0</v>
      </c>
      <c r="DP83" s="73"/>
      <c r="DQ83" s="73"/>
    </row>
    <row r="84" spans="1:121" ht="10.199999999999999" x14ac:dyDescent="0.2">
      <c r="A84" s="4" t="s">
        <v>558</v>
      </c>
      <c r="B84" s="188">
        <v>1031</v>
      </c>
      <c r="C84" s="189" t="s">
        <v>84</v>
      </c>
      <c r="D84" s="4">
        <v>2027</v>
      </c>
      <c r="E84" s="4" t="s">
        <v>400</v>
      </c>
      <c r="F84" s="4">
        <v>1</v>
      </c>
      <c r="G84" s="4" t="s">
        <v>840</v>
      </c>
      <c r="H84" s="4">
        <v>0</v>
      </c>
      <c r="I84" s="4" t="s">
        <v>853</v>
      </c>
      <c r="J84" s="5">
        <v>3101085.89</v>
      </c>
      <c r="K84" s="5">
        <v>316.32</v>
      </c>
      <c r="L84" s="5">
        <v>414</v>
      </c>
      <c r="M84" s="5">
        <v>0</v>
      </c>
      <c r="N84" s="5">
        <v>16045061</v>
      </c>
      <c r="O84" s="5">
        <v>15</v>
      </c>
      <c r="P84" s="5">
        <v>81</v>
      </c>
      <c r="Q84" s="5">
        <v>0</v>
      </c>
      <c r="R84" s="5">
        <v>0</v>
      </c>
      <c r="S84" s="5">
        <v>1050</v>
      </c>
      <c r="T84" s="5">
        <v>0</v>
      </c>
      <c r="U84" s="5">
        <v>0</v>
      </c>
      <c r="V84" s="5">
        <v>9658.32</v>
      </c>
      <c r="W84" s="5">
        <v>232.14000000000001</v>
      </c>
      <c r="X84" s="5">
        <v>18569.239999999998</v>
      </c>
      <c r="Y84" s="5">
        <v>7</v>
      </c>
      <c r="Z84" s="5">
        <v>21</v>
      </c>
      <c r="AA84" s="5">
        <v>117</v>
      </c>
      <c r="AB84" s="5">
        <v>44</v>
      </c>
      <c r="AC84" s="5">
        <v>69</v>
      </c>
      <c r="AD84" s="5">
        <v>0</v>
      </c>
      <c r="AE84" s="5">
        <v>3</v>
      </c>
      <c r="AF84" s="5">
        <v>2</v>
      </c>
      <c r="AG84" s="5">
        <v>14.95</v>
      </c>
      <c r="AH84" s="5">
        <v>0.33800000000000002</v>
      </c>
      <c r="AI84" s="5">
        <v>0</v>
      </c>
      <c r="AJ84" s="5">
        <v>0</v>
      </c>
      <c r="AK84" s="5">
        <v>0</v>
      </c>
      <c r="AL84" s="5">
        <v>257.77</v>
      </c>
      <c r="AM84" s="5">
        <v>9.6800000000000068</v>
      </c>
      <c r="AN84" s="5">
        <v>251</v>
      </c>
      <c r="AO84" s="5">
        <f t="shared" si="94"/>
        <v>6.7699999999999818</v>
      </c>
      <c r="AP84" s="5">
        <f t="shared" si="100"/>
        <v>0</v>
      </c>
      <c r="AQ84" s="5">
        <v>10.63</v>
      </c>
      <c r="AR84" s="5">
        <v>0</v>
      </c>
      <c r="AS84" s="5">
        <v>35350</v>
      </c>
      <c r="AT84" s="5">
        <v>76650</v>
      </c>
      <c r="AU84" s="5">
        <v>700</v>
      </c>
      <c r="AV84" s="5">
        <v>1050</v>
      </c>
      <c r="AW84" s="199">
        <v>414</v>
      </c>
      <c r="AX84" s="199">
        <v>2</v>
      </c>
      <c r="AY84" s="199">
        <v>0</v>
      </c>
      <c r="AZ84" s="199">
        <v>0</v>
      </c>
      <c r="BA84" s="5">
        <v>201038.58</v>
      </c>
      <c r="BB84" s="13">
        <v>953629.38</v>
      </c>
      <c r="BC84" s="190">
        <f>MAX(ROUND(IF(F84&lt;4,IF(H84=0,(SUM(Y84:AD84)*Worksheet!$E$26+Y84*Worksheet!$E$27+AR84*Worksheet!$E$39)*-BaseRate,0)),2),MIN(0,-DI84))</f>
        <v>-277958.90000000002</v>
      </c>
      <c r="BD84" s="190">
        <f>MAX(ROUND(IF(F84=4,0,IF(I84=0,0,ROUND(SUM(Y84:AD84)*Worksheet!$E$28,2)*-BaseRate)),2),MIN(0,-DI84-BC84))</f>
        <v>-6049.16</v>
      </c>
      <c r="BE84" s="130">
        <f t="shared" si="87"/>
        <v>2512</v>
      </c>
      <c r="BF84" s="130">
        <f t="shared" si="88"/>
        <v>1408</v>
      </c>
      <c r="BG84" s="73"/>
      <c r="BH84" s="191">
        <f t="shared" si="89"/>
        <v>44488.05</v>
      </c>
      <c r="BI84" s="191">
        <f t="shared" si="90"/>
        <v>9803.64</v>
      </c>
      <c r="BJ84" s="232">
        <f>IFERROR(ROUND(IF(AND(BB84*1.12&lt;N84*60/1000,N84/CL84&lt;STVPP*0.2),(CL84*STVPP*0.2*Worksheet!$F$88/1000-BB84*1.12)*PropTaxAdj,IF(BB84*1.12&lt;N84*60/1000,(N84*60/1000-BB84*1.12)*PropTaxAdj,0)),2),0)</f>
        <v>0</v>
      </c>
      <c r="BK84" s="192">
        <f>ROUND(IF($F84=4,0,Y84*Worksheet!$E$16),2)</f>
        <v>7</v>
      </c>
      <c r="BL84" s="192">
        <f>ROUND(IF($F84=4,0,Z84*Worksheet!$E$17),2)</f>
        <v>21</v>
      </c>
      <c r="BM84" s="192">
        <f>ROUND(IF($F84=4,0,AA84*Worksheet!$E$18),2)</f>
        <v>117</v>
      </c>
      <c r="BN84" s="192">
        <f>ROUND(IF($F84=4,0,AB84*Worksheet!$E$19),2)</f>
        <v>44</v>
      </c>
      <c r="BO84" s="192">
        <f>ROUND(IF($F84=4,0,AC84*Worksheet!$E$20),2)</f>
        <v>69</v>
      </c>
      <c r="BP84" s="192">
        <f>ROUND(AD84*Worksheet!$E$21,2)</f>
        <v>0</v>
      </c>
      <c r="BQ84" s="192">
        <f t="shared" si="76"/>
        <v>258</v>
      </c>
      <c r="BR84" s="192">
        <f>ROUND(AD84*Worksheet!$E$25,2)</f>
        <v>0</v>
      </c>
      <c r="BS84" s="192">
        <f>ROUND(SUM(BQ84)*Worksheet!$E$26,2)</f>
        <v>22.7</v>
      </c>
      <c r="BT84" s="192">
        <f>ROUND(Y84*Worksheet!$E$27,2)</f>
        <v>1.19</v>
      </c>
      <c r="BU84" s="192">
        <f>ROUND(AO84*Worksheet!$E$29,2)</f>
        <v>6.77</v>
      </c>
      <c r="BV84" s="192">
        <f>ROUND(AP84*Worksheet!$E$30,2)</f>
        <v>0</v>
      </c>
      <c r="BW84" s="192">
        <f>ROUND(IF($I84&lt;&gt;0,$BQ84*Worksheet!$E$28,0),2)</f>
        <v>0.52</v>
      </c>
      <c r="BX84" s="192">
        <f>ROUND(AE84*Worksheet!$E$31,2)</f>
        <v>1.2</v>
      </c>
      <c r="BY84" s="192">
        <f>ROUND(AF84*Worksheet!$E$32,2)</f>
        <v>0.56000000000000005</v>
      </c>
      <c r="BZ84" s="192">
        <f>ROUND(AG84*Worksheet!$E$33,2)</f>
        <v>1.05</v>
      </c>
      <c r="CA84" s="192">
        <f>ROUND(ROUND(AH84*BQ84,2)*Worksheet!$E$34,2)</f>
        <v>2.1800000000000002</v>
      </c>
      <c r="CB84" s="192">
        <f>ROUND(AI84*Worksheet!$E$35,2)</f>
        <v>0</v>
      </c>
      <c r="CC84" s="192">
        <f>ROUND(AJ84*Worksheet!$E$36,2)</f>
        <v>0</v>
      </c>
      <c r="CD84" s="192">
        <f>ROUND(AQ84*Worksheet!$E$38,2)</f>
        <v>6.38</v>
      </c>
      <c r="CE84" s="192">
        <f>ROUND(AR84*Worksheet!$E$39,2)</f>
        <v>0</v>
      </c>
      <c r="CF84" s="192">
        <f>IF(AND(L84&gt;275,SUM(Y84:AD84)&lt;100),ROUND(SUM(Y84:AD84)*Worksheet!$E$41,2),0)</f>
        <v>0</v>
      </c>
      <c r="CG84" s="192">
        <f>IF(AND(L84&gt;600,SUM(Y84:AD84)&lt;50),ROUND((50-SUM(Y84:AD84))*(Worksheet!$E$41+1),2),0)</f>
        <v>0</v>
      </c>
      <c r="CH84" s="192">
        <f t="shared" si="77"/>
        <v>300.54999999999995</v>
      </c>
      <c r="CI84" s="116">
        <f t="shared" si="95"/>
        <v>0</v>
      </c>
      <c r="CJ84" s="116">
        <f t="shared" si="96"/>
        <v>300.54999999999995</v>
      </c>
      <c r="CK84" s="95">
        <f t="shared" si="91"/>
        <v>1.2</v>
      </c>
      <c r="CL84" s="116">
        <f t="shared" si="97"/>
        <v>360.66</v>
      </c>
      <c r="CM84" s="116">
        <f t="shared" si="98"/>
        <v>360.66</v>
      </c>
      <c r="CN84" s="116">
        <f t="shared" si="92"/>
        <v>4195557.78</v>
      </c>
      <c r="CO84" s="131">
        <f>ROUND(IF(F84=4,0,(MAX(ROUND(MAX((BI84*MIN(CL84,K84)*Worksheet!$D$126)+MAX(CL84-K84,0)*Worksheet!$F$50,SUM(J84)),2),SUM(CN84))-SUM(CN84))*MinAdj),2)</f>
        <v>0</v>
      </c>
      <c r="CP84" s="192">
        <f t="shared" si="93"/>
        <v>4195557.78</v>
      </c>
      <c r="CQ84" s="131">
        <f>IF(CL84=0,0,-MIN(CP84,MIN(CP84,ROUND(IF(ROUND(IF(CL84=0,0,N84/CL84),2)&lt;STVPP*0.2,STVPP*0.2*CL84*Worksheet!$F$88/1000,N84*Worksheet!$F$88/1000),2))))</f>
        <v>-962703.66</v>
      </c>
      <c r="CR84" s="193">
        <f>-MIN(SUM(CP84,CQ84),IF($P84=0,(ROUND(Worksheet!$E$77*S84,2)+ROUND(Worksheet!$E$78*T84,2)+ROUND(Worksheet!$E$79*U84,2)+ROUND(Worksheet!$E$80*V84,2)+ROUND(Worksheet!$E$81*W84,2)+ROUND(Worksheet!$E$82*X84,2)),(ROUND(ROUND(S84*ROUND((1-$O84/$P84),4),2)*Worksheet!$E$77,2)+ROUND(ROUND(T84*ROUND((1-$O84/$P84),4),2)*Worksheet!$E$78,2)+ROUND(ROUND(U84*ROUND((1-$O84/$P84),4),2)*Worksheet!$E$79,2)+ROUND(ROUND(V84*ROUND((1-$O84/$P84),4),2)*Worksheet!$E$80,2)+ROUND(ROUND(W84*ROUND((1-$O84/$P84),4),2)*Worksheet!$E$81,2)+ROUND(ROUND(X84*ROUND((1-$O84/$P84),4),2)*Worksheet!$E$82,2))))</f>
        <v>-18033.39</v>
      </c>
      <c r="CS84" s="192">
        <f t="shared" si="78"/>
        <v>3214820.73</v>
      </c>
      <c r="CT84" s="116">
        <f>ROUND(MIN(BA84,ROUND((ROUND(AS84*Worksheet!$E$104,2)+ROUND(AV84*Worksheet!$E$107,2)+ROUND(AT84*Worksheet!$E$105,2)+ROUND(AW84*Worksheet!$E$108,2)+ROUND(AU84*Worksheet!$E$106,2)+ROUND(AX84*Worksheet!$E$109,2)+ROUND(AY84*Worksheet!$E$110,2)+ROUND(AZ84*Worksheet!$E$111,2))*Worksheet!$D$114,2))*BaseRate,2)</f>
        <v>132848.85999999999</v>
      </c>
      <c r="CU84" s="121">
        <v>0</v>
      </c>
      <c r="CV84" s="121">
        <v>0</v>
      </c>
      <c r="CW84" s="121">
        <v>0</v>
      </c>
      <c r="CX84" s="121">
        <v>0</v>
      </c>
      <c r="CY84" s="121">
        <v>0</v>
      </c>
      <c r="DA84" s="192">
        <f t="shared" si="79"/>
        <v>0</v>
      </c>
      <c r="DB84" s="192">
        <f>MAX(-CT84,MIN(0,ROUND($R84*EFBPercent+EFBAdd,2)-$Q84),MIN(0,SUM($CS84:CS84)+MIN(0,ROUND($R84*EFBPercent+EFBAdd,2)-$Q84)))</f>
        <v>0</v>
      </c>
      <c r="DC84" s="192">
        <f>IF(CU84&lt;0,0,MAX(-CU84,MIN(0,ROUND($R84*EFBPercent+EFBAdd,2)-$Q84),MIN(0,SUM($CS84:CT84)+MIN(0,ROUND($R84*EFBPercent+EFBAdd,2)-$Q84))))</f>
        <v>0</v>
      </c>
      <c r="DD84" s="192">
        <f>IF(CV84&lt;0,0,MAX(-CV84,MIN(0,ROUND($R84*EFBPercent+EFBAdd,2)-$Q84),MIN(0,SUM($CS84:CU84)+MIN(0,ROUND($R84*EFBPercent+EFBAdd,2)-$Q84))))</f>
        <v>0</v>
      </c>
      <c r="DE84" s="192">
        <f>IF(CW84&lt;0,0,MAX(-CW84,MIN(0,ROUND($R84*EFBPercent+EFBAdd,2)-$Q84),MIN(0,SUM($CS84:CV84)+MIN(0,ROUND($R84*EFBPercent+EFBAdd,2)-$Q84))))</f>
        <v>0</v>
      </c>
      <c r="DF84" s="192">
        <f>IF(CX84&lt;0,0,MAX(-CX84,MIN(0,ROUND($R84*EFBPercent+EFBAdd,2)-$Q84),MIN(0,SUM($CS84:CW84)+MIN(0,ROUND($R84*EFBPercent+EFBAdd,2)-$Q84))))</f>
        <v>0</v>
      </c>
      <c r="DG84" s="192">
        <f>MAX(-CY84,MIN(0,ROUND($R84*EFBPercent+EFBAdd,2)-$Q84),MIN(0,SUM($CS84:CX84)+MIN(0,ROUND($R84*EFBPercent+EFBAdd,2)-$Q84)))</f>
        <v>0</v>
      </c>
      <c r="DI84" s="73">
        <f t="shared" si="80"/>
        <v>3214820.73</v>
      </c>
      <c r="DJ84" s="73">
        <f t="shared" si="81"/>
        <v>132848.85999999999</v>
      </c>
      <c r="DK84" s="73">
        <f t="shared" si="82"/>
        <v>0</v>
      </c>
      <c r="DL84" s="73">
        <f t="shared" si="83"/>
        <v>0</v>
      </c>
      <c r="DM84" s="73">
        <f t="shared" si="84"/>
        <v>0</v>
      </c>
      <c r="DN84" s="73">
        <f t="shared" si="85"/>
        <v>0</v>
      </c>
      <c r="DO84" s="73">
        <f t="shared" si="86"/>
        <v>0</v>
      </c>
      <c r="DP84" s="73"/>
      <c r="DQ84" s="73"/>
    </row>
    <row r="85" spans="1:121" ht="10.199999999999999" x14ac:dyDescent="0.2">
      <c r="A85" s="4" t="s">
        <v>559</v>
      </c>
      <c r="B85" s="188">
        <v>1075</v>
      </c>
      <c r="C85" s="189" t="s">
        <v>85</v>
      </c>
      <c r="D85" s="4">
        <v>2027</v>
      </c>
      <c r="E85" s="4" t="s">
        <v>401</v>
      </c>
      <c r="F85" s="4">
        <v>1</v>
      </c>
      <c r="G85" s="4" t="s">
        <v>840</v>
      </c>
      <c r="H85" s="4">
        <v>0</v>
      </c>
      <c r="I85" s="4" t="s">
        <v>853</v>
      </c>
      <c r="J85" s="5">
        <v>2306744.5699999998</v>
      </c>
      <c r="K85" s="5">
        <v>186.14</v>
      </c>
      <c r="L85" s="5">
        <v>496.5</v>
      </c>
      <c r="M85" s="5">
        <v>0</v>
      </c>
      <c r="N85" s="5">
        <v>12184054</v>
      </c>
      <c r="O85" s="5">
        <v>31.62</v>
      </c>
      <c r="P85" s="5">
        <v>110.37</v>
      </c>
      <c r="Q85" s="5">
        <v>0</v>
      </c>
      <c r="R85" s="5">
        <v>0</v>
      </c>
      <c r="S85" s="5">
        <v>0</v>
      </c>
      <c r="T85" s="5">
        <v>0</v>
      </c>
      <c r="U85" s="5">
        <v>0</v>
      </c>
      <c r="V85" s="5">
        <v>348319.36</v>
      </c>
      <c r="W85" s="5">
        <v>2803.9700000000003</v>
      </c>
      <c r="X85" s="5">
        <v>10728.689999999999</v>
      </c>
      <c r="Y85" s="5">
        <v>0.27</v>
      </c>
      <c r="Z85" s="5">
        <v>10</v>
      </c>
      <c r="AA85" s="5">
        <v>58</v>
      </c>
      <c r="AB85" s="5">
        <v>18</v>
      </c>
      <c r="AC85" s="5">
        <v>31</v>
      </c>
      <c r="AD85" s="5">
        <v>0</v>
      </c>
      <c r="AE85" s="5">
        <v>0</v>
      </c>
      <c r="AF85" s="5">
        <v>0</v>
      </c>
      <c r="AG85" s="5">
        <v>0</v>
      </c>
      <c r="AH85" s="5">
        <v>0.35099999999999998</v>
      </c>
      <c r="AI85" s="5">
        <v>0</v>
      </c>
      <c r="AJ85" s="5">
        <v>0</v>
      </c>
      <c r="AK85" s="5">
        <v>0</v>
      </c>
      <c r="AL85" s="5">
        <v>120.26</v>
      </c>
      <c r="AM85" s="5">
        <v>3.0800000000000125</v>
      </c>
      <c r="AN85" s="5">
        <v>117</v>
      </c>
      <c r="AO85" s="5">
        <f t="shared" si="94"/>
        <v>3.2600000000000051</v>
      </c>
      <c r="AP85" s="5">
        <f t="shared" si="100"/>
        <v>0</v>
      </c>
      <c r="AQ85" s="5">
        <v>0</v>
      </c>
      <c r="AR85" s="5">
        <v>0</v>
      </c>
      <c r="AS85" s="5">
        <v>7612</v>
      </c>
      <c r="AT85" s="5">
        <v>77504</v>
      </c>
      <c r="AU85" s="5">
        <v>346</v>
      </c>
      <c r="AV85" s="5">
        <v>1384</v>
      </c>
      <c r="AW85" s="199">
        <v>496.5</v>
      </c>
      <c r="AX85" s="199">
        <v>1</v>
      </c>
      <c r="AY85" s="199">
        <v>0</v>
      </c>
      <c r="AZ85" s="199">
        <v>0</v>
      </c>
      <c r="BA85" s="5">
        <v>213558.59</v>
      </c>
      <c r="BB85" s="13">
        <v>711475.14</v>
      </c>
      <c r="BC85" s="190">
        <f>MAX(ROUND(IF(F85&lt;4,IF(H85=0,(SUM(Y85:AD85)*Worksheet!$E$26+Y85*Worksheet!$E$27+AR85*Worksheet!$E$39)*-BaseRate,0)),2),MIN(0,-DI85))</f>
        <v>-120583.72</v>
      </c>
      <c r="BD85" s="190">
        <f>MAX(ROUND(IF(F85=4,0,IF(I85=0,0,ROUND(SUM(Y85:AD85)*Worksheet!$E$28,2)*-BaseRate)),2),MIN(0,-DI85-BC85))</f>
        <v>-2675.59</v>
      </c>
      <c r="BE85" s="130">
        <f t="shared" si="87"/>
        <v>2512</v>
      </c>
      <c r="BF85" s="130">
        <f t="shared" si="88"/>
        <v>1408</v>
      </c>
      <c r="BG85" s="73"/>
      <c r="BH85" s="191">
        <f t="shared" si="89"/>
        <v>56559.53</v>
      </c>
      <c r="BI85" s="191">
        <f t="shared" si="90"/>
        <v>12392.52</v>
      </c>
      <c r="BJ85" s="232">
        <f>IFERROR(ROUND(IF(AND(BB85*1.12&lt;N85*60/1000,N85/CL85&lt;STVPP*0.2),(CL85*STVPP*0.2*Worksheet!$F$88/1000-BB85*1.12)*PropTaxAdj,IF(BB85*1.12&lt;N85*60/1000,(N85*60/1000-BB85*1.12)*PropTaxAdj,0)),2),0)</f>
        <v>0</v>
      </c>
      <c r="BK85" s="192">
        <f>ROUND(IF($F85=4,0,Y85*Worksheet!$E$16),2)</f>
        <v>0.27</v>
      </c>
      <c r="BL85" s="192">
        <f>ROUND(IF($F85=4,0,Z85*Worksheet!$E$17),2)</f>
        <v>10</v>
      </c>
      <c r="BM85" s="192">
        <f>ROUND(IF($F85=4,0,AA85*Worksheet!$E$18),2)</f>
        <v>58</v>
      </c>
      <c r="BN85" s="192">
        <f>ROUND(IF($F85=4,0,AB85*Worksheet!$E$19),2)</f>
        <v>18</v>
      </c>
      <c r="BO85" s="192">
        <f>ROUND(IF($F85=4,0,AC85*Worksheet!$E$20),2)</f>
        <v>31</v>
      </c>
      <c r="BP85" s="192">
        <f>ROUND(AD85*Worksheet!$E$21,2)</f>
        <v>0</v>
      </c>
      <c r="BQ85" s="192">
        <f t="shared" si="76"/>
        <v>117.27</v>
      </c>
      <c r="BR85" s="192">
        <f>ROUND(AD85*Worksheet!$E$25,2)</f>
        <v>0</v>
      </c>
      <c r="BS85" s="192">
        <f>ROUND(SUM(BQ85)*Worksheet!$E$26,2)</f>
        <v>10.32</v>
      </c>
      <c r="BT85" s="192">
        <f>ROUND(Y85*Worksheet!$E$27,2)</f>
        <v>0.05</v>
      </c>
      <c r="BU85" s="192">
        <f>ROUND(AO85*Worksheet!$E$29,2)</f>
        <v>3.26</v>
      </c>
      <c r="BV85" s="192">
        <f>ROUND(AP85*Worksheet!$E$30,2)</f>
        <v>0</v>
      </c>
      <c r="BW85" s="192">
        <f>ROUND(IF($I85&lt;&gt;0,$BQ85*Worksheet!$E$28,0),2)</f>
        <v>0.23</v>
      </c>
      <c r="BX85" s="192">
        <f>ROUND(AE85*Worksheet!$E$31,2)</f>
        <v>0</v>
      </c>
      <c r="BY85" s="192">
        <f>ROUND(AF85*Worksheet!$E$32,2)</f>
        <v>0</v>
      </c>
      <c r="BZ85" s="192">
        <f>ROUND(AG85*Worksheet!$E$33,2)</f>
        <v>0</v>
      </c>
      <c r="CA85" s="192">
        <f>ROUND(ROUND(AH85*BQ85,2)*Worksheet!$E$34,2)</f>
        <v>1.03</v>
      </c>
      <c r="CB85" s="192">
        <f>ROUND(AI85*Worksheet!$E$35,2)</f>
        <v>0</v>
      </c>
      <c r="CC85" s="192">
        <f>ROUND(AJ85*Worksheet!$E$36,2)</f>
        <v>0</v>
      </c>
      <c r="CD85" s="192">
        <f>ROUND(AQ85*Worksheet!$E$38,2)</f>
        <v>0</v>
      </c>
      <c r="CE85" s="192">
        <f>ROUND(AR85*Worksheet!$E$39,2)</f>
        <v>0</v>
      </c>
      <c r="CF85" s="192">
        <f>IF(AND(L85&gt;275,SUM(Y85:AD85)&lt;100),ROUND(SUM(Y85:AD85)*Worksheet!$E$41,2),0)</f>
        <v>0</v>
      </c>
      <c r="CG85" s="192">
        <f>IF(AND(L85&gt;600,SUM(Y85:AD85)&lt;50),ROUND((50-SUM(Y85:AD85))*(Worksheet!$E$41+1),2),0)</f>
        <v>0</v>
      </c>
      <c r="CH85" s="192">
        <f t="shared" si="77"/>
        <v>132.16</v>
      </c>
      <c r="CI85" s="116">
        <f t="shared" si="95"/>
        <v>0</v>
      </c>
      <c r="CJ85" s="116">
        <f t="shared" si="96"/>
        <v>132.16</v>
      </c>
      <c r="CK85" s="95">
        <f t="shared" si="91"/>
        <v>1.63</v>
      </c>
      <c r="CL85" s="116">
        <f t="shared" si="97"/>
        <v>215.42</v>
      </c>
      <c r="CM85" s="116">
        <f t="shared" si="98"/>
        <v>215.42</v>
      </c>
      <c r="CN85" s="116">
        <f t="shared" si="92"/>
        <v>2505980.86</v>
      </c>
      <c r="CO85" s="131">
        <f>ROUND(IF(F85=4,0,(MAX(ROUND(MAX((BI85*MIN(CL85,K85)*Worksheet!$D$126)+MAX(CL85-K85,0)*Worksheet!$F$50,SUM(J85)),2),SUM(CN85))-SUM(CN85))*MinAdj),2)</f>
        <v>28126.79</v>
      </c>
      <c r="CP85" s="192">
        <f t="shared" si="93"/>
        <v>2534107.65</v>
      </c>
      <c r="CQ85" s="131">
        <f>IF(CL85=0,0,-MIN(CP85,MIN(CP85,ROUND(IF(ROUND(IF(CL85=0,0,N85/CL85),2)&lt;STVPP*0.2,STVPP*0.2*CL85*Worksheet!$F$88/1000,N85*Worksheet!$F$88/1000),2))))</f>
        <v>-731043.24</v>
      </c>
      <c r="CR85" s="193">
        <f>-MIN(SUM(CP85,CQ85),IF($P85=0,(ROUND(Worksheet!$E$77*S85,2)+ROUND(Worksheet!$E$78*T85,2)+ROUND(Worksheet!$E$79*U85,2)+ROUND(Worksheet!$E$80*V85,2)+ROUND(Worksheet!$E$81*W85,2)+ROUND(Worksheet!$E$82*X85,2)),(ROUND(ROUND(S85*ROUND((1-$O85/$P85),4),2)*Worksheet!$E$77,2)+ROUND(ROUND(T85*ROUND((1-$O85/$P85),4),2)*Worksheet!$E$78,2)+ROUND(ROUND(U85*ROUND((1-$O85/$P85),4),2)*Worksheet!$E$79,2)+ROUND(ROUND(V85*ROUND((1-$O85/$P85),4),2)*Worksheet!$E$80,2)+ROUND(ROUND(W85*ROUND((1-$O85/$P85),4),2)*Worksheet!$E$81,2)+ROUND(ROUND(X85*ROUND((1-$O85/$P85),4),2)*Worksheet!$E$82,2))))</f>
        <v>-193636.06</v>
      </c>
      <c r="CS85" s="192">
        <f t="shared" si="78"/>
        <v>1609428.3499999999</v>
      </c>
      <c r="CT85" s="116">
        <f>ROUND(MIN(BA85,ROUND((ROUND(AS85*Worksheet!$E$104,2)+ROUND(AV85*Worksheet!$E$107,2)+ROUND(AT85*Worksheet!$E$105,2)+ROUND(AW85*Worksheet!$E$108,2)+ROUND(AU85*Worksheet!$E$106,2)+ROUND(AX85*Worksheet!$E$109,2)+ROUND(AY85*Worksheet!$E$110,2)+ROUND(AZ85*Worksheet!$E$111,2))*Worksheet!$D$114,2))*BaseRate,2)</f>
        <v>119238.25</v>
      </c>
      <c r="CU85" s="121">
        <v>0</v>
      </c>
      <c r="CV85" s="121">
        <v>0</v>
      </c>
      <c r="CW85" s="121">
        <v>0</v>
      </c>
      <c r="CX85" s="121">
        <v>0</v>
      </c>
      <c r="CY85" s="121">
        <v>0</v>
      </c>
      <c r="DA85" s="192">
        <f t="shared" si="79"/>
        <v>0</v>
      </c>
      <c r="DB85" s="192">
        <f>MAX(-CT85,MIN(0,ROUND($R85*EFBPercent+EFBAdd,2)-$Q85),MIN(0,SUM($CS85:CS85)+MIN(0,ROUND($R85*EFBPercent+EFBAdd,2)-$Q85)))</f>
        <v>0</v>
      </c>
      <c r="DC85" s="192">
        <f>IF(CU85&lt;0,0,MAX(-CU85,MIN(0,ROUND($R85*EFBPercent+EFBAdd,2)-$Q85),MIN(0,SUM($CS85:CT85)+MIN(0,ROUND($R85*EFBPercent+EFBAdd,2)-$Q85))))</f>
        <v>0</v>
      </c>
      <c r="DD85" s="192">
        <f>IF(CV85&lt;0,0,MAX(-CV85,MIN(0,ROUND($R85*EFBPercent+EFBAdd,2)-$Q85),MIN(0,SUM($CS85:CU85)+MIN(0,ROUND($R85*EFBPercent+EFBAdd,2)-$Q85))))</f>
        <v>0</v>
      </c>
      <c r="DE85" s="192">
        <f>IF(CW85&lt;0,0,MAX(-CW85,MIN(0,ROUND($R85*EFBPercent+EFBAdd,2)-$Q85),MIN(0,SUM($CS85:CV85)+MIN(0,ROUND($R85*EFBPercent+EFBAdd,2)-$Q85))))</f>
        <v>0</v>
      </c>
      <c r="DF85" s="192">
        <f>IF(CX85&lt;0,0,MAX(-CX85,MIN(0,ROUND($R85*EFBPercent+EFBAdd,2)-$Q85),MIN(0,SUM($CS85:CW85)+MIN(0,ROUND($R85*EFBPercent+EFBAdd,2)-$Q85))))</f>
        <v>0</v>
      </c>
      <c r="DG85" s="192">
        <f>MAX(-CY85,MIN(0,ROUND($R85*EFBPercent+EFBAdd,2)-$Q85),MIN(0,SUM($CS85:CX85)+MIN(0,ROUND($R85*EFBPercent+EFBAdd,2)-$Q85)))</f>
        <v>0</v>
      </c>
      <c r="DI85" s="73">
        <f t="shared" si="80"/>
        <v>1609428.3499999999</v>
      </c>
      <c r="DJ85" s="73">
        <f t="shared" si="81"/>
        <v>119238.25</v>
      </c>
      <c r="DK85" s="73">
        <f t="shared" si="82"/>
        <v>0</v>
      </c>
      <c r="DL85" s="73">
        <f t="shared" si="83"/>
        <v>0</v>
      </c>
      <c r="DM85" s="73">
        <f t="shared" si="84"/>
        <v>0</v>
      </c>
      <c r="DN85" s="73">
        <f t="shared" si="85"/>
        <v>0</v>
      </c>
      <c r="DO85" s="73">
        <f t="shared" si="86"/>
        <v>0</v>
      </c>
      <c r="DP85" s="73"/>
      <c r="DQ85" s="73"/>
    </row>
    <row r="86" spans="1:121" ht="10.199999999999999" x14ac:dyDescent="0.2">
      <c r="A86" s="4" t="s">
        <v>560</v>
      </c>
      <c r="B86" s="188">
        <v>1077</v>
      </c>
      <c r="C86" s="189" t="s">
        <v>86</v>
      </c>
      <c r="D86" s="4">
        <v>2027</v>
      </c>
      <c r="E86" s="4" t="s">
        <v>402</v>
      </c>
      <c r="F86" s="4">
        <v>1</v>
      </c>
      <c r="G86" s="4" t="s">
        <v>840</v>
      </c>
      <c r="H86" s="4">
        <v>0</v>
      </c>
      <c r="I86" s="4" t="s">
        <v>853</v>
      </c>
      <c r="J86" s="5">
        <v>3618986.28</v>
      </c>
      <c r="K86" s="5">
        <v>375.18</v>
      </c>
      <c r="L86" s="5">
        <v>426</v>
      </c>
      <c r="M86" s="5">
        <v>0</v>
      </c>
      <c r="N86" s="5">
        <v>17556127</v>
      </c>
      <c r="O86" s="5">
        <v>0</v>
      </c>
      <c r="P86" s="5">
        <v>94.88</v>
      </c>
      <c r="Q86" s="5">
        <v>0</v>
      </c>
      <c r="R86" s="5">
        <v>0</v>
      </c>
      <c r="S86" s="5">
        <v>3425</v>
      </c>
      <c r="T86" s="5">
        <v>0</v>
      </c>
      <c r="U86" s="5">
        <v>0</v>
      </c>
      <c r="V86" s="5">
        <v>13661.22</v>
      </c>
      <c r="W86" s="5">
        <v>8113.1399999999994</v>
      </c>
      <c r="X86" s="5">
        <v>14539.52</v>
      </c>
      <c r="Y86" s="5">
        <v>0.73</v>
      </c>
      <c r="Z86" s="5">
        <v>24</v>
      </c>
      <c r="AA86" s="5">
        <v>141</v>
      </c>
      <c r="AB86" s="5">
        <v>41</v>
      </c>
      <c r="AC86" s="5">
        <v>83</v>
      </c>
      <c r="AD86" s="5">
        <v>0</v>
      </c>
      <c r="AE86" s="5">
        <v>0</v>
      </c>
      <c r="AF86" s="5">
        <v>2</v>
      </c>
      <c r="AG86" s="5">
        <v>12</v>
      </c>
      <c r="AH86" s="5">
        <v>0.27600000000000002</v>
      </c>
      <c r="AI86" s="5">
        <v>0</v>
      </c>
      <c r="AJ86" s="5">
        <v>0</v>
      </c>
      <c r="AK86" s="5">
        <v>0</v>
      </c>
      <c r="AL86" s="5">
        <v>296.97000000000003</v>
      </c>
      <c r="AM86" s="5">
        <v>0</v>
      </c>
      <c r="AN86" s="5">
        <v>289</v>
      </c>
      <c r="AO86" s="5">
        <f t="shared" si="94"/>
        <v>7.9700000000000273</v>
      </c>
      <c r="AP86" s="5">
        <f t="shared" si="100"/>
        <v>0</v>
      </c>
      <c r="AQ86" s="5">
        <v>2.7</v>
      </c>
      <c r="AR86" s="5">
        <v>0.02</v>
      </c>
      <c r="AS86" s="5">
        <v>0</v>
      </c>
      <c r="AT86" s="5">
        <v>97650</v>
      </c>
      <c r="AU86" s="5">
        <v>0</v>
      </c>
      <c r="AV86" s="5">
        <v>1750</v>
      </c>
      <c r="AW86" s="199">
        <v>426</v>
      </c>
      <c r="AX86" s="199">
        <v>2</v>
      </c>
      <c r="AY86" s="199">
        <v>0</v>
      </c>
      <c r="AZ86" s="199">
        <v>0</v>
      </c>
      <c r="BA86" s="5">
        <v>258702.6</v>
      </c>
      <c r="BB86" s="13">
        <v>1041722.4</v>
      </c>
      <c r="BC86" s="190">
        <f>MAX(ROUND(IF(F86&lt;4,IF(H86=0,(SUM(Y86:AD86)*Worksheet!$E$26+Y86*Worksheet!$E$27+AR86*Worksheet!$E$39)*-BaseRate,0)),2),MIN(0,-DI86))</f>
        <v>-298274.08</v>
      </c>
      <c r="BD86" s="190">
        <f>MAX(ROUND(IF(F86=4,0,IF(I86=0,0,ROUND(SUM(Y86:AD86)*Worksheet!$E$28,2)*-BaseRate)),2),MIN(0,-DI86-BC86))</f>
        <v>-6747.14</v>
      </c>
      <c r="BE86" s="130">
        <f t="shared" si="87"/>
        <v>2512</v>
      </c>
      <c r="BF86" s="130">
        <f t="shared" si="88"/>
        <v>1408</v>
      </c>
      <c r="BG86" s="73"/>
      <c r="BH86" s="191">
        <f t="shared" si="89"/>
        <v>46410.400000000001</v>
      </c>
      <c r="BI86" s="191">
        <f t="shared" si="90"/>
        <v>9646</v>
      </c>
      <c r="BJ86" s="232">
        <f>IFERROR(ROUND(IF(AND(BB86*1.12&lt;N86*60/1000,N86/CL86&lt;STVPP*0.2),(CL86*STVPP*0.2*Worksheet!$F$88/1000-BB86*1.12)*PropTaxAdj,IF(BB86*1.12&lt;N86*60/1000,(N86*60/1000-BB86*1.12)*PropTaxAdj,0)),2),0)</f>
        <v>0</v>
      </c>
      <c r="BK86" s="192">
        <f>ROUND(IF($F86=4,0,Y86*Worksheet!$E$16),2)</f>
        <v>0.73</v>
      </c>
      <c r="BL86" s="192">
        <f>ROUND(IF($F86=4,0,Z86*Worksheet!$E$17),2)</f>
        <v>24</v>
      </c>
      <c r="BM86" s="192">
        <f>ROUND(IF($F86=4,0,AA86*Worksheet!$E$18),2)</f>
        <v>141</v>
      </c>
      <c r="BN86" s="192">
        <f>ROUND(IF($F86=4,0,AB86*Worksheet!$E$19),2)</f>
        <v>41</v>
      </c>
      <c r="BO86" s="192">
        <f>ROUND(IF($F86=4,0,AC86*Worksheet!$E$20),2)</f>
        <v>83</v>
      </c>
      <c r="BP86" s="192">
        <f>ROUND(AD86*Worksheet!$E$21,2)</f>
        <v>0</v>
      </c>
      <c r="BQ86" s="192">
        <f t="shared" si="76"/>
        <v>289.73</v>
      </c>
      <c r="BR86" s="192">
        <f>ROUND(AD86*Worksheet!$E$25,2)</f>
        <v>0</v>
      </c>
      <c r="BS86" s="192">
        <f>ROUND(SUM(BQ86)*Worksheet!$E$26,2)</f>
        <v>25.5</v>
      </c>
      <c r="BT86" s="192">
        <f>ROUND(Y86*Worksheet!$E$27,2)</f>
        <v>0.12</v>
      </c>
      <c r="BU86" s="192">
        <f>ROUND(AO86*Worksheet!$E$29,2)</f>
        <v>7.97</v>
      </c>
      <c r="BV86" s="192">
        <f>ROUND(AP86*Worksheet!$E$30,2)</f>
        <v>0</v>
      </c>
      <c r="BW86" s="192">
        <f>ROUND(IF($I86&lt;&gt;0,$BQ86*Worksheet!$E$28,0),2)</f>
        <v>0.57999999999999996</v>
      </c>
      <c r="BX86" s="192">
        <f>ROUND(AE86*Worksheet!$E$31,2)</f>
        <v>0</v>
      </c>
      <c r="BY86" s="192">
        <f>ROUND(AF86*Worksheet!$E$32,2)</f>
        <v>0.56000000000000005</v>
      </c>
      <c r="BZ86" s="192">
        <f>ROUND(AG86*Worksheet!$E$33,2)</f>
        <v>0.84</v>
      </c>
      <c r="CA86" s="192">
        <f>ROUND(ROUND(AH86*BQ86,2)*Worksheet!$E$34,2)</f>
        <v>2</v>
      </c>
      <c r="CB86" s="192">
        <f>ROUND(AI86*Worksheet!$E$35,2)</f>
        <v>0</v>
      </c>
      <c r="CC86" s="192">
        <f>ROUND(AJ86*Worksheet!$E$36,2)</f>
        <v>0</v>
      </c>
      <c r="CD86" s="192">
        <f>ROUND(AQ86*Worksheet!$E$38,2)</f>
        <v>1.62</v>
      </c>
      <c r="CE86" s="192">
        <f>ROUND(AR86*Worksheet!$E$39,2)</f>
        <v>0.02</v>
      </c>
      <c r="CF86" s="192">
        <f>IF(AND(L86&gt;275,SUM(Y86:AD86)&lt;100),ROUND(SUM(Y86:AD86)*Worksheet!$E$41,2),0)</f>
        <v>0</v>
      </c>
      <c r="CG86" s="192">
        <f>IF(AND(L86&gt;600,SUM(Y86:AD86)&lt;50),ROUND((50-SUM(Y86:AD86))*(Worksheet!$E$41+1),2),0)</f>
        <v>0</v>
      </c>
      <c r="CH86" s="192">
        <f t="shared" si="77"/>
        <v>328.94</v>
      </c>
      <c r="CI86" s="116">
        <f t="shared" si="95"/>
        <v>0</v>
      </c>
      <c r="CJ86" s="116">
        <f t="shared" si="96"/>
        <v>328.94</v>
      </c>
      <c r="CK86" s="95">
        <f t="shared" si="91"/>
        <v>1.1499999999999999</v>
      </c>
      <c r="CL86" s="116">
        <f t="shared" si="97"/>
        <v>378.28</v>
      </c>
      <c r="CM86" s="116">
        <f t="shared" si="98"/>
        <v>378.28</v>
      </c>
      <c r="CN86" s="116">
        <f t="shared" si="92"/>
        <v>4400531.24</v>
      </c>
      <c r="CO86" s="131">
        <f>ROUND(IF(F86=4,0,(MAX(ROUND(MAX((BI86*MIN(CL86,K86)*Worksheet!$D$126)+MAX(CL86-K86,0)*Worksheet!$F$50,SUM(J86)),2),SUM(CN86))-SUM(CN86))*MinAdj),2)</f>
        <v>0</v>
      </c>
      <c r="CP86" s="192">
        <f t="shared" si="93"/>
        <v>4400531.24</v>
      </c>
      <c r="CQ86" s="131">
        <f>IF(CL86=0,0,-MIN(CP86,MIN(CP86,ROUND(IF(ROUND(IF(CL86=0,0,N86/CL86),2)&lt;STVPP*0.2,STVPP*0.2*CL86*Worksheet!$F$88/1000,N86*Worksheet!$F$88/1000),2))))</f>
        <v>-1053367.6200000001</v>
      </c>
      <c r="CR86" s="193">
        <f>-MIN(SUM(CP86,CQ86),IF($P86=0,(ROUND(Worksheet!$E$77*S86,2)+ROUND(Worksheet!$E$78*T86,2)+ROUND(Worksheet!$E$79*U86,2)+ROUND(Worksheet!$E$80*V86,2)+ROUND(Worksheet!$E$81*W86,2)+ROUND(Worksheet!$E$82*X86,2)),(ROUND(ROUND(S86*ROUND((1-$O86/$P86),4),2)*Worksheet!$E$77,2)+ROUND(ROUND(T86*ROUND((1-$O86/$P86),4),2)*Worksheet!$E$78,2)+ROUND(ROUND(U86*ROUND((1-$O86/$P86),4),2)*Worksheet!$E$79,2)+ROUND(ROUND(V86*ROUND((1-$O86/$P86),4),2)*Worksheet!$E$80,2)+ROUND(ROUND(W86*ROUND((1-$O86/$P86),4),2)*Worksheet!$E$81,2)+ROUND(ROUND(X86*ROUND((1-$O86/$P86),4),2)*Worksheet!$E$82,2))))</f>
        <v>-29804.17</v>
      </c>
      <c r="CS86" s="192">
        <f t="shared" si="78"/>
        <v>3317359.45</v>
      </c>
      <c r="CT86" s="116">
        <f>ROUND(MIN(BA86,ROUND((ROUND(AS86*Worksheet!$E$104,2)+ROUND(AV86*Worksheet!$E$107,2)+ROUND(AT86*Worksheet!$E$105,2)+ROUND(AW86*Worksheet!$E$108,2)+ROUND(AU86*Worksheet!$E$106,2)+ROUND(AX86*Worksheet!$E$109,2)+ROUND(AY86*Worksheet!$E$110,2)+ROUND(AZ86*Worksheet!$E$111,2))*Worksheet!$D$114,2))*BaseRate,2)</f>
        <v>141922.6</v>
      </c>
      <c r="CU86" s="121">
        <v>0</v>
      </c>
      <c r="CV86" s="121">
        <v>0</v>
      </c>
      <c r="CW86" s="121">
        <v>0</v>
      </c>
      <c r="CX86" s="121">
        <v>0</v>
      </c>
      <c r="CY86" s="121">
        <v>0</v>
      </c>
      <c r="DA86" s="192">
        <f t="shared" si="79"/>
        <v>0</v>
      </c>
      <c r="DB86" s="192">
        <f>MAX(-CT86,MIN(0,ROUND($R86*EFBPercent+EFBAdd,2)-$Q86),MIN(0,SUM($CS86:CS86)+MIN(0,ROUND($R86*EFBPercent+EFBAdd,2)-$Q86)))</f>
        <v>0</v>
      </c>
      <c r="DC86" s="192">
        <f>IF(CU86&lt;0,0,MAX(-CU86,MIN(0,ROUND($R86*EFBPercent+EFBAdd,2)-$Q86),MIN(0,SUM($CS86:CT86)+MIN(0,ROUND($R86*EFBPercent+EFBAdd,2)-$Q86))))</f>
        <v>0</v>
      </c>
      <c r="DD86" s="192">
        <f>IF(CV86&lt;0,0,MAX(-CV86,MIN(0,ROUND($R86*EFBPercent+EFBAdd,2)-$Q86),MIN(0,SUM($CS86:CU86)+MIN(0,ROUND($R86*EFBPercent+EFBAdd,2)-$Q86))))</f>
        <v>0</v>
      </c>
      <c r="DE86" s="192">
        <f>IF(CW86&lt;0,0,MAX(-CW86,MIN(0,ROUND($R86*EFBPercent+EFBAdd,2)-$Q86),MIN(0,SUM($CS86:CV86)+MIN(0,ROUND($R86*EFBPercent+EFBAdd,2)-$Q86))))</f>
        <v>0</v>
      </c>
      <c r="DF86" s="192">
        <f>IF(CX86&lt;0,0,MAX(-CX86,MIN(0,ROUND($R86*EFBPercent+EFBAdd,2)-$Q86),MIN(0,SUM($CS86:CW86)+MIN(0,ROUND($R86*EFBPercent+EFBAdd,2)-$Q86))))</f>
        <v>0</v>
      </c>
      <c r="DG86" s="192">
        <f>MAX(-CY86,MIN(0,ROUND($R86*EFBPercent+EFBAdd,2)-$Q86),MIN(0,SUM($CS86:CX86)+MIN(0,ROUND($R86*EFBPercent+EFBAdd,2)-$Q86)))</f>
        <v>0</v>
      </c>
      <c r="DI86" s="73">
        <f t="shared" si="80"/>
        <v>3317359.45</v>
      </c>
      <c r="DJ86" s="73">
        <f t="shared" si="81"/>
        <v>141922.6</v>
      </c>
      <c r="DK86" s="73">
        <f t="shared" si="82"/>
        <v>0</v>
      </c>
      <c r="DL86" s="73">
        <f t="shared" si="83"/>
        <v>0</v>
      </c>
      <c r="DM86" s="73">
        <f t="shared" si="84"/>
        <v>0</v>
      </c>
      <c r="DN86" s="73">
        <f t="shared" si="85"/>
        <v>0</v>
      </c>
      <c r="DO86" s="73">
        <f t="shared" si="86"/>
        <v>0</v>
      </c>
      <c r="DP86" s="73"/>
      <c r="DQ86" s="73"/>
    </row>
    <row r="87" spans="1:121" ht="10.199999999999999" x14ac:dyDescent="0.2">
      <c r="A87" s="4" t="s">
        <v>561</v>
      </c>
      <c r="B87" s="188">
        <v>1113</v>
      </c>
      <c r="C87" s="189" t="s">
        <v>87</v>
      </c>
      <c r="D87" s="4">
        <v>2027</v>
      </c>
      <c r="E87" s="4" t="s">
        <v>403</v>
      </c>
      <c r="F87" s="4">
        <v>1</v>
      </c>
      <c r="G87" s="4" t="s">
        <v>670</v>
      </c>
      <c r="H87" s="4">
        <v>100</v>
      </c>
      <c r="I87" s="4" t="s">
        <v>1091</v>
      </c>
      <c r="J87" s="5">
        <v>3182794.1500000004</v>
      </c>
      <c r="K87" s="5">
        <v>329.96</v>
      </c>
      <c r="L87" s="5">
        <v>552.09</v>
      </c>
      <c r="M87" s="5">
        <v>0</v>
      </c>
      <c r="N87" s="5">
        <v>12605308</v>
      </c>
      <c r="O87" s="5">
        <v>0</v>
      </c>
      <c r="P87" s="5">
        <v>88.46</v>
      </c>
      <c r="Q87" s="5">
        <v>0</v>
      </c>
      <c r="R87" s="5">
        <v>0</v>
      </c>
      <c r="S87" s="5">
        <v>2625</v>
      </c>
      <c r="T87" s="5">
        <v>0</v>
      </c>
      <c r="U87" s="5">
        <v>0</v>
      </c>
      <c r="V87" s="5">
        <v>194160.78999999998</v>
      </c>
      <c r="W87" s="5">
        <v>3719.75</v>
      </c>
      <c r="X87" s="5">
        <v>10579.769999999999</v>
      </c>
      <c r="Y87" s="5">
        <v>0.22</v>
      </c>
      <c r="Z87" s="5">
        <v>25</v>
      </c>
      <c r="AA87" s="5">
        <v>117</v>
      </c>
      <c r="AB87" s="5">
        <v>34</v>
      </c>
      <c r="AC87" s="5">
        <v>74</v>
      </c>
      <c r="AD87" s="5">
        <v>0</v>
      </c>
      <c r="AE87" s="5">
        <v>2</v>
      </c>
      <c r="AF87" s="5">
        <v>0.92</v>
      </c>
      <c r="AG87" s="5">
        <v>0</v>
      </c>
      <c r="AH87" s="5">
        <v>0.375</v>
      </c>
      <c r="AI87" s="5">
        <v>0</v>
      </c>
      <c r="AJ87" s="5">
        <v>0</v>
      </c>
      <c r="AK87" s="5">
        <v>0</v>
      </c>
      <c r="AL87" s="5">
        <v>258.40999999999997</v>
      </c>
      <c r="AM87" s="5">
        <v>12.039999999999992</v>
      </c>
      <c r="AN87" s="5">
        <v>250</v>
      </c>
      <c r="AO87" s="5">
        <f t="shared" si="94"/>
        <v>8.4099999999999682</v>
      </c>
      <c r="AP87" s="5">
        <f t="shared" si="100"/>
        <v>0</v>
      </c>
      <c r="AQ87" s="5">
        <v>1.31</v>
      </c>
      <c r="AR87" s="5">
        <v>0.05</v>
      </c>
      <c r="AS87" s="5">
        <v>0</v>
      </c>
      <c r="AT87" s="5">
        <v>120870</v>
      </c>
      <c r="AU87" s="5">
        <v>0</v>
      </c>
      <c r="AV87" s="5">
        <v>2040</v>
      </c>
      <c r="AW87" s="199">
        <v>552.09</v>
      </c>
      <c r="AX87" s="199">
        <v>1</v>
      </c>
      <c r="AY87" s="199">
        <v>0</v>
      </c>
      <c r="AZ87" s="199">
        <v>0</v>
      </c>
      <c r="BA87" s="5">
        <v>276335.03000000003</v>
      </c>
      <c r="BB87" s="13">
        <v>726620.1</v>
      </c>
      <c r="BC87" s="190">
        <f>MAX(ROUND(IF(F87&lt;4,IF(H87=0,(SUM(Y87:AD87)*Worksheet!$E$26+Y87*Worksheet!$E$27+AR87*Worksheet!$E$39)*-BaseRate,0)),2),MIN(0,-DI87))</f>
        <v>0</v>
      </c>
      <c r="BD87" s="190">
        <f>MAX(ROUND(IF(F87=4,0,IF(I87=0,0,ROUND(SUM(Y87:AD87)*Worksheet!$E$28,2)*-BaseRate)),2),MIN(0,-DI87-BC87))</f>
        <v>-5816.5</v>
      </c>
      <c r="BE87" s="130">
        <f t="shared" si="87"/>
        <v>0</v>
      </c>
      <c r="BF87" s="130">
        <f t="shared" si="88"/>
        <v>1403</v>
      </c>
      <c r="BG87" s="73"/>
      <c r="BH87" s="191">
        <f t="shared" si="89"/>
        <v>36800.6</v>
      </c>
      <c r="BI87" s="191">
        <f t="shared" si="90"/>
        <v>9646</v>
      </c>
      <c r="BJ87" s="232">
        <f>IFERROR(ROUND(IF(AND(BB87*1.12&lt;N87*60/1000,N87/CL87&lt;STVPP*0.2),(CL87*STVPP*0.2*Worksheet!$F$88/1000-BB87*1.12)*PropTaxAdj,IF(BB87*1.12&lt;N87*60/1000,(N87*60/1000-BB87*1.12)*PropTaxAdj,0)),2),0)</f>
        <v>0</v>
      </c>
      <c r="BK87" s="192">
        <f>ROUND(IF($F87=4,0,Y87*Worksheet!$E$16),2)</f>
        <v>0.22</v>
      </c>
      <c r="BL87" s="192">
        <f>ROUND(IF($F87=4,0,Z87*Worksheet!$E$17),2)</f>
        <v>25</v>
      </c>
      <c r="BM87" s="192">
        <f>ROUND(IF($F87=4,0,AA87*Worksheet!$E$18),2)</f>
        <v>117</v>
      </c>
      <c r="BN87" s="192">
        <f>ROUND(IF($F87=4,0,AB87*Worksheet!$E$19),2)</f>
        <v>34</v>
      </c>
      <c r="BO87" s="192">
        <f>ROUND(IF($F87=4,0,AC87*Worksheet!$E$20),2)</f>
        <v>74</v>
      </c>
      <c r="BP87" s="192">
        <f>ROUND(AD87*Worksheet!$E$21,2)</f>
        <v>0</v>
      </c>
      <c r="BQ87" s="192">
        <f t="shared" si="76"/>
        <v>250.22</v>
      </c>
      <c r="BR87" s="192">
        <f>ROUND(AD87*Worksheet!$E$25,2)</f>
        <v>0</v>
      </c>
      <c r="BS87" s="192">
        <f>ROUND(SUM(BQ87)*Worksheet!$E$26,2)</f>
        <v>22.02</v>
      </c>
      <c r="BT87" s="192">
        <f>ROUND(Y87*Worksheet!$E$27,2)</f>
        <v>0.04</v>
      </c>
      <c r="BU87" s="192">
        <f>ROUND(AO87*Worksheet!$E$29,2)</f>
        <v>8.41</v>
      </c>
      <c r="BV87" s="192">
        <f>ROUND(AP87*Worksheet!$E$30,2)</f>
        <v>0</v>
      </c>
      <c r="BW87" s="192">
        <f>ROUND(IF($I87&lt;&gt;0,$BQ87*Worksheet!$E$28,0),2)</f>
        <v>0.5</v>
      </c>
      <c r="BX87" s="192">
        <f>ROUND(AE87*Worksheet!$E$31,2)</f>
        <v>0.8</v>
      </c>
      <c r="BY87" s="192">
        <f>ROUND(AF87*Worksheet!$E$32,2)</f>
        <v>0.26</v>
      </c>
      <c r="BZ87" s="192">
        <f>ROUND(AG87*Worksheet!$E$33,2)</f>
        <v>0</v>
      </c>
      <c r="CA87" s="192">
        <f>ROUND(ROUND(AH87*BQ87,2)*Worksheet!$E$34,2)</f>
        <v>2.35</v>
      </c>
      <c r="CB87" s="192">
        <f>ROUND(AI87*Worksheet!$E$35,2)</f>
        <v>0</v>
      </c>
      <c r="CC87" s="192">
        <f>ROUND(AJ87*Worksheet!$E$36,2)</f>
        <v>0</v>
      </c>
      <c r="CD87" s="192">
        <f>ROUND(AQ87*Worksheet!$E$38,2)</f>
        <v>0.79</v>
      </c>
      <c r="CE87" s="192">
        <f>ROUND(AR87*Worksheet!$E$39,2)</f>
        <v>0.05</v>
      </c>
      <c r="CF87" s="192">
        <f>IF(AND(L87&gt;275,SUM(Y87:AD87)&lt;100),ROUND(SUM(Y87:AD87)*Worksheet!$E$41,2),0)</f>
        <v>0</v>
      </c>
      <c r="CG87" s="192">
        <f>IF(AND(L87&gt;600,SUM(Y87:AD87)&lt;50),ROUND((50-SUM(Y87:AD87))*(Worksheet!$E$41+1),2),0)</f>
        <v>0</v>
      </c>
      <c r="CH87" s="192">
        <f t="shared" si="77"/>
        <v>285.44000000000011</v>
      </c>
      <c r="CI87" s="116">
        <f t="shared" si="95"/>
        <v>0</v>
      </c>
      <c r="CJ87" s="116">
        <f t="shared" si="96"/>
        <v>285.44000000000011</v>
      </c>
      <c r="CK87" s="95">
        <f t="shared" si="91"/>
        <v>1.2</v>
      </c>
      <c r="CL87" s="116">
        <f t="shared" si="97"/>
        <v>342.53</v>
      </c>
      <c r="CM87" s="116">
        <f t="shared" si="98"/>
        <v>342.53</v>
      </c>
      <c r="CN87" s="116">
        <f t="shared" si="92"/>
        <v>3984651.49</v>
      </c>
      <c r="CO87" s="131">
        <f>ROUND(IF(F87=4,0,(MAX(ROUND(MAX((BI87*MIN(CL87,K87)*Worksheet!$D$126)+MAX(CL87-K87,0)*Worksheet!$F$50,SUM(J87)),2),SUM(CN87))-SUM(CN87))*MinAdj),2)</f>
        <v>0</v>
      </c>
      <c r="CP87" s="192">
        <f t="shared" si="93"/>
        <v>3984651.49</v>
      </c>
      <c r="CQ87" s="131">
        <f>IF(CL87=0,0,-MIN(CP87,MIN(CP87,ROUND(IF(ROUND(IF(CL87=0,0,N87/CL87),2)&lt;STVPP*0.2,STVPP*0.2*CL87*Worksheet!$F$88/1000,N87*Worksheet!$F$88/1000),2))))</f>
        <v>-756318.48</v>
      </c>
      <c r="CR87" s="193">
        <f>-MIN(SUM(CP87,CQ87),IF($P87=0,(ROUND(Worksheet!$E$77*S87,2)+ROUND(Worksheet!$E$78*T87,2)+ROUND(Worksheet!$E$79*U87,2)+ROUND(Worksheet!$E$80*V87,2)+ROUND(Worksheet!$E$81*W87,2)+ROUND(Worksheet!$E$82*X87,2)),(ROUND(ROUND(S87*ROUND((1-$O87/$P87),4),2)*Worksheet!$E$77,2)+ROUND(ROUND(T87*ROUND((1-$O87/$P87),4),2)*Worksheet!$E$78,2)+ROUND(ROUND(U87*ROUND((1-$O87/$P87),4),2)*Worksheet!$E$79,2)+ROUND(ROUND(V87*ROUND((1-$O87/$P87),4),2)*Worksheet!$E$80,2)+ROUND(ROUND(W87*ROUND((1-$O87/$P87),4),2)*Worksheet!$E$81,2)+ROUND(ROUND(X87*ROUND((1-$O87/$P87),4),2)*Worksheet!$E$82,2))))</f>
        <v>-158313.97999999998</v>
      </c>
      <c r="CS87" s="192">
        <f t="shared" si="78"/>
        <v>3070019.0300000003</v>
      </c>
      <c r="CT87" s="116">
        <f>ROUND(MIN(BA87,ROUND((ROUND(AS87*Worksheet!$E$104,2)+ROUND(AV87*Worksheet!$E$107,2)+ROUND(AT87*Worksheet!$E$105,2)+ROUND(AW87*Worksheet!$E$108,2)+ROUND(AU87*Worksheet!$E$106,2)+ROUND(AX87*Worksheet!$E$109,2)+ROUND(AY87*Worksheet!$E$110,2)+ROUND(AZ87*Worksheet!$E$111,2))*Worksheet!$D$114,2))*BaseRate,2)</f>
        <v>171470.42</v>
      </c>
      <c r="CU87" s="121">
        <v>0</v>
      </c>
      <c r="CV87" s="121">
        <v>0</v>
      </c>
      <c r="CW87" s="121">
        <v>0</v>
      </c>
      <c r="CX87" s="121">
        <v>0</v>
      </c>
      <c r="CY87" s="121">
        <v>0</v>
      </c>
      <c r="DA87" s="192">
        <f t="shared" si="79"/>
        <v>0</v>
      </c>
      <c r="DB87" s="192">
        <f>MAX(-CT87,MIN(0,ROUND($R87*EFBPercent+EFBAdd,2)-$Q87),MIN(0,SUM($CS87:CS87)+MIN(0,ROUND($R87*EFBPercent+EFBAdd,2)-$Q87)))</f>
        <v>0</v>
      </c>
      <c r="DC87" s="192">
        <f>IF(CU87&lt;0,0,MAX(-CU87,MIN(0,ROUND($R87*EFBPercent+EFBAdd,2)-$Q87),MIN(0,SUM($CS87:CT87)+MIN(0,ROUND($R87*EFBPercent+EFBAdd,2)-$Q87))))</f>
        <v>0</v>
      </c>
      <c r="DD87" s="192">
        <f>IF(CV87&lt;0,0,MAX(-CV87,MIN(0,ROUND($R87*EFBPercent+EFBAdd,2)-$Q87),MIN(0,SUM($CS87:CU87)+MIN(0,ROUND($R87*EFBPercent+EFBAdd,2)-$Q87))))</f>
        <v>0</v>
      </c>
      <c r="DE87" s="192">
        <f>IF(CW87&lt;0,0,MAX(-CW87,MIN(0,ROUND($R87*EFBPercent+EFBAdd,2)-$Q87),MIN(0,SUM($CS87:CV87)+MIN(0,ROUND($R87*EFBPercent+EFBAdd,2)-$Q87))))</f>
        <v>0</v>
      </c>
      <c r="DF87" s="192">
        <f>IF(CX87&lt;0,0,MAX(-CX87,MIN(0,ROUND($R87*EFBPercent+EFBAdd,2)-$Q87),MIN(0,SUM($CS87:CW87)+MIN(0,ROUND($R87*EFBPercent+EFBAdd,2)-$Q87))))</f>
        <v>0</v>
      </c>
      <c r="DG87" s="192">
        <f>MAX(-CY87,MIN(0,ROUND($R87*EFBPercent+EFBAdd,2)-$Q87),MIN(0,SUM($CS87:CX87)+MIN(0,ROUND($R87*EFBPercent+EFBAdd,2)-$Q87)))</f>
        <v>0</v>
      </c>
      <c r="DI87" s="73">
        <f t="shared" si="80"/>
        <v>3070019.0300000003</v>
      </c>
      <c r="DJ87" s="73">
        <f t="shared" si="81"/>
        <v>171470.42</v>
      </c>
      <c r="DK87" s="73">
        <f t="shared" si="82"/>
        <v>0</v>
      </c>
      <c r="DL87" s="73">
        <f t="shared" si="83"/>
        <v>0</v>
      </c>
      <c r="DM87" s="73">
        <f t="shared" si="84"/>
        <v>0</v>
      </c>
      <c r="DN87" s="73">
        <f t="shared" si="85"/>
        <v>0</v>
      </c>
      <c r="DO87" s="73">
        <f t="shared" si="86"/>
        <v>0</v>
      </c>
      <c r="DP87" s="73"/>
      <c r="DQ87" s="73"/>
    </row>
    <row r="88" spans="1:121" ht="10.199999999999999" x14ac:dyDescent="0.2">
      <c r="A88" s="4" t="s">
        <v>562</v>
      </c>
      <c r="B88" s="188">
        <v>1048</v>
      </c>
      <c r="C88" s="189" t="s">
        <v>88</v>
      </c>
      <c r="D88" s="4">
        <v>2027</v>
      </c>
      <c r="E88" s="4" t="s">
        <v>699</v>
      </c>
      <c r="F88" s="4">
        <v>1</v>
      </c>
      <c r="G88" s="4" t="s">
        <v>670</v>
      </c>
      <c r="H88" s="4">
        <v>100</v>
      </c>
      <c r="I88" s="4" t="s">
        <v>853</v>
      </c>
      <c r="J88" s="5">
        <v>1590559.9299999997</v>
      </c>
      <c r="K88" s="5">
        <v>157.63999999999999</v>
      </c>
      <c r="L88" s="5">
        <v>605.37</v>
      </c>
      <c r="M88" s="5">
        <v>0</v>
      </c>
      <c r="N88" s="5">
        <v>12823498</v>
      </c>
      <c r="O88" s="5">
        <v>0</v>
      </c>
      <c r="P88" s="5">
        <v>85.65</v>
      </c>
      <c r="Q88" s="5">
        <v>0</v>
      </c>
      <c r="R88" s="5">
        <v>0</v>
      </c>
      <c r="S88" s="5">
        <v>1485</v>
      </c>
      <c r="T88" s="5">
        <v>78.7</v>
      </c>
      <c r="U88" s="5">
        <v>0</v>
      </c>
      <c r="V88" s="5">
        <v>14603.57</v>
      </c>
      <c r="W88" s="5">
        <v>924.49</v>
      </c>
      <c r="X88" s="5">
        <v>16460.55</v>
      </c>
      <c r="Y88" s="5">
        <v>0.16</v>
      </c>
      <c r="Z88" s="5">
        <v>7</v>
      </c>
      <c r="AA88" s="5">
        <v>41</v>
      </c>
      <c r="AB88" s="5">
        <v>16</v>
      </c>
      <c r="AC88" s="5">
        <v>35</v>
      </c>
      <c r="AD88" s="5">
        <v>0</v>
      </c>
      <c r="AE88" s="5">
        <v>0</v>
      </c>
      <c r="AF88" s="5">
        <v>0</v>
      </c>
      <c r="AG88" s="5">
        <v>0</v>
      </c>
      <c r="AH88" s="5">
        <v>0.309</v>
      </c>
      <c r="AI88" s="5">
        <v>0</v>
      </c>
      <c r="AJ88" s="5">
        <v>0</v>
      </c>
      <c r="AK88" s="5">
        <v>0</v>
      </c>
      <c r="AL88" s="5">
        <v>101.59</v>
      </c>
      <c r="AM88" s="5">
        <v>4.9300000000000068</v>
      </c>
      <c r="AN88" s="5">
        <v>99</v>
      </c>
      <c r="AO88" s="5">
        <f t="shared" si="94"/>
        <v>2.5900000000000034</v>
      </c>
      <c r="AP88" s="5">
        <f t="shared" si="100"/>
        <v>0</v>
      </c>
      <c r="AQ88" s="5">
        <v>0.63</v>
      </c>
      <c r="AR88" s="5">
        <v>0</v>
      </c>
      <c r="AS88" s="5">
        <v>0</v>
      </c>
      <c r="AT88" s="5">
        <v>78888</v>
      </c>
      <c r="AU88" s="5">
        <v>0</v>
      </c>
      <c r="AV88" s="5">
        <v>2076</v>
      </c>
      <c r="AW88" s="199">
        <v>605.37</v>
      </c>
      <c r="AX88" s="199">
        <v>1</v>
      </c>
      <c r="AY88" s="199">
        <v>0</v>
      </c>
      <c r="AZ88" s="199">
        <v>0</v>
      </c>
      <c r="BA88" s="5">
        <v>144554.76</v>
      </c>
      <c r="BB88" s="13">
        <v>752912.22</v>
      </c>
      <c r="BC88" s="190">
        <f>MAX(ROUND(IF(F88&lt;4,IF(H88=0,(SUM(Y88:AD88)*Worksheet!$E$26+Y88*Worksheet!$E$27+AR88*Worksheet!$E$39)*-BaseRate,0)),2),MIN(0,-DI88))</f>
        <v>0</v>
      </c>
      <c r="BD88" s="190">
        <f>MAX(ROUND(IF(F88=4,0,IF(I88=0,0,ROUND(SUM(Y88:AD88)*Worksheet!$E$28,2)*-BaseRate)),2),MIN(0,-DI88-BC88))</f>
        <v>-2326.6</v>
      </c>
      <c r="BE88" s="130">
        <f t="shared" si="87"/>
        <v>0</v>
      </c>
      <c r="BF88" s="130">
        <f t="shared" si="88"/>
        <v>1408</v>
      </c>
      <c r="BG88" s="73"/>
      <c r="BH88" s="191">
        <f t="shared" si="89"/>
        <v>63055.01</v>
      </c>
      <c r="BI88" s="191">
        <f t="shared" si="90"/>
        <v>10089.82</v>
      </c>
      <c r="BJ88" s="232">
        <f>IFERROR(ROUND(IF(AND(BB88*1.12&lt;N88*60/1000,N88/CL88&lt;STVPP*0.2),(CL88*STVPP*0.2*Worksheet!$F$88/1000-BB88*1.12)*PropTaxAdj,IF(BB88*1.12&lt;N88*60/1000,(N88*60/1000-BB88*1.12)*PropTaxAdj,0)),2),0)</f>
        <v>0</v>
      </c>
      <c r="BK88" s="192">
        <f>ROUND(IF($F88=4,0,Y88*Worksheet!$E$16),2)</f>
        <v>0.16</v>
      </c>
      <c r="BL88" s="192">
        <f>ROUND(IF($F88=4,0,Z88*Worksheet!$E$17),2)</f>
        <v>7</v>
      </c>
      <c r="BM88" s="192">
        <f>ROUND(IF($F88=4,0,AA88*Worksheet!$E$18),2)</f>
        <v>41</v>
      </c>
      <c r="BN88" s="192">
        <f>ROUND(IF($F88=4,0,AB88*Worksheet!$E$19),2)</f>
        <v>16</v>
      </c>
      <c r="BO88" s="192">
        <f>ROUND(IF($F88=4,0,AC88*Worksheet!$E$20),2)</f>
        <v>35</v>
      </c>
      <c r="BP88" s="192">
        <f>ROUND(AD88*Worksheet!$E$21,2)</f>
        <v>0</v>
      </c>
      <c r="BQ88" s="192">
        <f t="shared" si="76"/>
        <v>99.16</v>
      </c>
      <c r="BR88" s="192">
        <f>ROUND(AD88*Worksheet!$E$25,2)</f>
        <v>0</v>
      </c>
      <c r="BS88" s="192">
        <f>ROUND(SUM(BQ88)*Worksheet!$E$26,2)</f>
        <v>8.73</v>
      </c>
      <c r="BT88" s="192">
        <f>ROUND(Y88*Worksheet!$E$27,2)</f>
        <v>0.03</v>
      </c>
      <c r="BU88" s="192">
        <f>ROUND(AO88*Worksheet!$E$29,2)</f>
        <v>2.59</v>
      </c>
      <c r="BV88" s="192">
        <f>ROUND(AP88*Worksheet!$E$30,2)</f>
        <v>0</v>
      </c>
      <c r="BW88" s="192">
        <f>ROUND(IF($I88&lt;&gt;0,$BQ88*Worksheet!$E$28,0),2)</f>
        <v>0.2</v>
      </c>
      <c r="BX88" s="192">
        <f>ROUND(AE88*Worksheet!$E$31,2)</f>
        <v>0</v>
      </c>
      <c r="BY88" s="192">
        <f>ROUND(AF88*Worksheet!$E$32,2)</f>
        <v>0</v>
      </c>
      <c r="BZ88" s="192">
        <f>ROUND(AG88*Worksheet!$E$33,2)</f>
        <v>0</v>
      </c>
      <c r="CA88" s="192">
        <f>ROUND(ROUND(AH88*BQ88,2)*Worksheet!$E$34,2)</f>
        <v>0.77</v>
      </c>
      <c r="CB88" s="192">
        <f>ROUND(AI88*Worksheet!$E$35,2)</f>
        <v>0</v>
      </c>
      <c r="CC88" s="192">
        <f>ROUND(AJ88*Worksheet!$E$36,2)</f>
        <v>0</v>
      </c>
      <c r="CD88" s="192">
        <f>ROUND(AQ88*Worksheet!$E$38,2)</f>
        <v>0.38</v>
      </c>
      <c r="CE88" s="192">
        <f>ROUND(AR88*Worksheet!$E$39,2)</f>
        <v>0</v>
      </c>
      <c r="CF88" s="192">
        <f>IF(AND(L88&gt;275,SUM(Y88:AD88)&lt;100),ROUND(SUM(Y88:AD88)*Worksheet!$E$41,2),0)</f>
        <v>9.92</v>
      </c>
      <c r="CG88" s="192">
        <f>IF(AND(L88&gt;600,SUM(Y88:AD88)&lt;50),ROUND((50-SUM(Y88:AD88))*(Worksheet!$E$41+1),2),0)</f>
        <v>0</v>
      </c>
      <c r="CH88" s="192">
        <f t="shared" si="77"/>
        <v>121.78</v>
      </c>
      <c r="CI88" s="116">
        <f t="shared" si="95"/>
        <v>0</v>
      </c>
      <c r="CJ88" s="116">
        <f t="shared" si="96"/>
        <v>121.78</v>
      </c>
      <c r="CK88" s="95">
        <f t="shared" si="91"/>
        <v>1.67</v>
      </c>
      <c r="CL88" s="116">
        <f t="shared" si="97"/>
        <v>203.37</v>
      </c>
      <c r="CM88" s="116">
        <f t="shared" si="98"/>
        <v>203.37</v>
      </c>
      <c r="CN88" s="116">
        <f t="shared" si="92"/>
        <v>2365803.21</v>
      </c>
      <c r="CO88" s="131">
        <f>ROUND(IF(F88=4,0,(MAX(ROUND(MAX((BI88*MIN(CL88,K88)*Worksheet!$D$126)+MAX(CL88-K88,0)*Worksheet!$F$50,SUM(J88)),2),SUM(CN88))-SUM(CN88))*MinAdj),2)</f>
        <v>0</v>
      </c>
      <c r="CP88" s="192">
        <f t="shared" si="93"/>
        <v>2365803.21</v>
      </c>
      <c r="CQ88" s="131">
        <f>IF(CL88=0,0,-MIN(CP88,MIN(CP88,ROUND(IF(ROUND(IF(CL88=0,0,N88/CL88),2)&lt;STVPP*0.2,STVPP*0.2*CL88*Worksheet!$F$88/1000,N88*Worksheet!$F$88/1000),2))))</f>
        <v>-769409.88</v>
      </c>
      <c r="CR88" s="193">
        <f>-MIN(SUM(CP88,CQ88),IF($P88=0,(ROUND(Worksheet!$E$77*S88,2)+ROUND(Worksheet!$E$78*T88,2)+ROUND(Worksheet!$E$79*U88,2)+ROUND(Worksheet!$E$80*V88,2)+ROUND(Worksheet!$E$81*W88,2)+ROUND(Worksheet!$E$82*X88,2)),(ROUND(ROUND(S88*ROUND((1-$O88/$P88),4),2)*Worksheet!$E$77,2)+ROUND(ROUND(T88*ROUND((1-$O88/$P88),4),2)*Worksheet!$E$78,2)+ROUND(ROUND(U88*ROUND((1-$O88/$P88),4),2)*Worksheet!$E$79,2)+ROUND(ROUND(V88*ROUND((1-$O88/$P88),4),2)*Worksheet!$E$80,2)+ROUND(ROUND(W88*ROUND((1-$O88/$P88),4),2)*Worksheet!$E$81,2)+ROUND(ROUND(X88*ROUND((1-$O88/$P88),4),2)*Worksheet!$E$82,2))))</f>
        <v>-25164.240000000002</v>
      </c>
      <c r="CS88" s="192">
        <f t="shared" si="78"/>
        <v>1571229.09</v>
      </c>
      <c r="CT88" s="116">
        <f>ROUND(MIN(BA88,ROUND((ROUND(AS88*Worksheet!$E$104,2)+ROUND(AV88*Worksheet!$E$107,2)+ROUND(AT88*Worksheet!$E$105,2)+ROUND(AW88*Worksheet!$E$108,2)+ROUND(AU88*Worksheet!$E$106,2)+ROUND(AX88*Worksheet!$E$109,2)+ROUND(AY88*Worksheet!$E$110,2)+ROUND(AZ88*Worksheet!$E$111,2))*Worksheet!$D$114,2))*BaseRate,2)</f>
        <v>123658.79</v>
      </c>
      <c r="CU88" s="121">
        <v>0</v>
      </c>
      <c r="CV88" s="121">
        <v>0</v>
      </c>
      <c r="CW88" s="121">
        <v>0</v>
      </c>
      <c r="CX88" s="121">
        <v>0</v>
      </c>
      <c r="CY88" s="121">
        <v>0</v>
      </c>
      <c r="DA88" s="192">
        <f t="shared" si="79"/>
        <v>0</v>
      </c>
      <c r="DB88" s="192">
        <f>MAX(-CT88,MIN(0,ROUND($R88*EFBPercent+EFBAdd,2)-$Q88),MIN(0,SUM($CS88:CS88)+MIN(0,ROUND($R88*EFBPercent+EFBAdd,2)-$Q88)))</f>
        <v>0</v>
      </c>
      <c r="DC88" s="192">
        <f>IF(CU88&lt;0,0,MAX(-CU88,MIN(0,ROUND($R88*EFBPercent+EFBAdd,2)-$Q88),MIN(0,SUM($CS88:CT88)+MIN(0,ROUND($R88*EFBPercent+EFBAdd,2)-$Q88))))</f>
        <v>0</v>
      </c>
      <c r="DD88" s="192">
        <f>IF(CV88&lt;0,0,MAX(-CV88,MIN(0,ROUND($R88*EFBPercent+EFBAdd,2)-$Q88),MIN(0,SUM($CS88:CU88)+MIN(0,ROUND($R88*EFBPercent+EFBAdd,2)-$Q88))))</f>
        <v>0</v>
      </c>
      <c r="DE88" s="192">
        <f>IF(CW88&lt;0,0,MAX(-CW88,MIN(0,ROUND($R88*EFBPercent+EFBAdd,2)-$Q88),MIN(0,SUM($CS88:CV88)+MIN(0,ROUND($R88*EFBPercent+EFBAdd,2)-$Q88))))</f>
        <v>0</v>
      </c>
      <c r="DF88" s="192">
        <f>IF(CX88&lt;0,0,MAX(-CX88,MIN(0,ROUND($R88*EFBPercent+EFBAdd,2)-$Q88),MIN(0,SUM($CS88:CW88)+MIN(0,ROUND($R88*EFBPercent+EFBAdd,2)-$Q88))))</f>
        <v>0</v>
      </c>
      <c r="DG88" s="192">
        <f>MAX(-CY88,MIN(0,ROUND($R88*EFBPercent+EFBAdd,2)-$Q88),MIN(0,SUM($CS88:CX88)+MIN(0,ROUND($R88*EFBPercent+EFBAdd,2)-$Q88)))</f>
        <v>0</v>
      </c>
      <c r="DI88" s="73">
        <f t="shared" si="80"/>
        <v>1571229.09</v>
      </c>
      <c r="DJ88" s="73">
        <f t="shared" si="81"/>
        <v>123658.79</v>
      </c>
      <c r="DK88" s="73">
        <f t="shared" si="82"/>
        <v>0</v>
      </c>
      <c r="DL88" s="73">
        <f t="shared" si="83"/>
        <v>0</v>
      </c>
      <c r="DM88" s="73">
        <f t="shared" si="84"/>
        <v>0</v>
      </c>
      <c r="DN88" s="73">
        <f t="shared" si="85"/>
        <v>0</v>
      </c>
      <c r="DO88" s="73">
        <f t="shared" si="86"/>
        <v>0</v>
      </c>
      <c r="DP88" s="73"/>
      <c r="DQ88" s="73"/>
    </row>
    <row r="89" spans="1:121" ht="10.199999999999999" x14ac:dyDescent="0.2">
      <c r="A89" s="194" t="s">
        <v>670</v>
      </c>
      <c r="B89" s="195">
        <v>2524</v>
      </c>
      <c r="C89" s="196" t="s">
        <v>189</v>
      </c>
      <c r="D89" s="4">
        <v>2027</v>
      </c>
      <c r="E89" s="194" t="s">
        <v>1038</v>
      </c>
      <c r="F89" s="4">
        <v>7</v>
      </c>
      <c r="G89" s="4" t="s">
        <v>670</v>
      </c>
      <c r="H89" s="4">
        <v>0</v>
      </c>
      <c r="I89" s="4">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f t="shared" si="94"/>
        <v>0</v>
      </c>
      <c r="AP89" s="5">
        <v>0</v>
      </c>
      <c r="AQ89" s="5">
        <v>0</v>
      </c>
      <c r="AR89" s="5">
        <v>0</v>
      </c>
      <c r="AS89" s="5">
        <v>0</v>
      </c>
      <c r="AT89" s="5">
        <v>0</v>
      </c>
      <c r="AU89" s="5">
        <v>0</v>
      </c>
      <c r="AV89" s="5">
        <v>0</v>
      </c>
      <c r="AW89" s="199">
        <v>0</v>
      </c>
      <c r="AX89" s="199">
        <v>0</v>
      </c>
      <c r="AY89" s="199">
        <v>0</v>
      </c>
      <c r="AZ89" s="199">
        <v>0</v>
      </c>
      <c r="BA89" s="5">
        <v>0</v>
      </c>
      <c r="BB89" s="13">
        <v>0</v>
      </c>
      <c r="BC89" s="190">
        <f>MAX(ROUND(IF(F89&lt;4,IF(H89=0,(SUM(Y89:AD89)*Worksheet!$E$26+Y89*Worksheet!$E$27+AR89*Worksheet!$E$39)*-BaseRate,0)),2),MIN(0,-DI89))</f>
        <v>0</v>
      </c>
      <c r="BD89" s="190">
        <f>MAX(ROUND(IF(F89=4,0,IF(I89=0,0,ROUND(SUM(Y89:AD89)*Worksheet!$E$28,2)*-BaseRate)),2),MIN(0,-DI89-BC89))</f>
        <v>0</v>
      </c>
      <c r="BE89" s="130">
        <f t="shared" si="87"/>
        <v>0</v>
      </c>
      <c r="BF89" s="130">
        <f t="shared" si="88"/>
        <v>0</v>
      </c>
      <c r="BG89" s="73"/>
      <c r="BH89" s="191">
        <f t="shared" si="89"/>
        <v>0</v>
      </c>
      <c r="BI89" s="191">
        <f t="shared" si="90"/>
        <v>0</v>
      </c>
      <c r="BJ89" s="232">
        <f>IFERROR(ROUND(IF(AND(BB89*1.12&lt;N89*60/1000,N89/CL89&lt;STVPP*0.2),(CL89*STVPP*0.2*Worksheet!$F$88/1000-BB89*1.12)*PropTaxAdj,IF(BB89*1.12&lt;N89*60/1000,(N89*60/1000-BB89*1.12)*PropTaxAdj,0)),2),0)</f>
        <v>0</v>
      </c>
      <c r="BK89" s="192">
        <f>ROUND(IF($F89=4,0,Y89*Worksheet!$E$16),2)</f>
        <v>0</v>
      </c>
      <c r="BL89" s="192">
        <f>ROUND(IF($F89=4,0,Z89*Worksheet!$E$17),2)</f>
        <v>0</v>
      </c>
      <c r="BM89" s="192">
        <f>ROUND(IF($F89=4,0,AA89*Worksheet!$E$18),2)</f>
        <v>0</v>
      </c>
      <c r="BN89" s="192">
        <f>ROUND(IF($F89=4,0,AB89*Worksheet!$E$19),2)</f>
        <v>0</v>
      </c>
      <c r="BO89" s="192">
        <f>ROUND(IF($F89=4,0,AC89*Worksheet!$E$20),2)</f>
        <v>0</v>
      </c>
      <c r="BP89" s="192">
        <f>ROUND(AD89*Worksheet!$E$21,2)</f>
        <v>0</v>
      </c>
      <c r="BQ89" s="192">
        <f t="shared" si="76"/>
        <v>0</v>
      </c>
      <c r="BR89" s="192">
        <f>ROUND(AD89*Worksheet!$E$25,2)</f>
        <v>0</v>
      </c>
      <c r="BS89" s="192">
        <f>ROUND(SUM(BQ89)*Worksheet!$E$26,2)</f>
        <v>0</v>
      </c>
      <c r="BT89" s="192">
        <f>ROUND(Y89*Worksheet!$E$27,2)</f>
        <v>0</v>
      </c>
      <c r="BU89" s="192">
        <f>ROUND(AO89*Worksheet!$E$29,2)</f>
        <v>0</v>
      </c>
      <c r="BV89" s="192">
        <f>ROUND(AP89*Worksheet!$E$30,2)</f>
        <v>0</v>
      </c>
      <c r="BW89" s="192">
        <f>ROUND(IF($I89&lt;&gt;0,$BQ89*Worksheet!$E$28,0),2)</f>
        <v>0</v>
      </c>
      <c r="BX89" s="192">
        <f>ROUND(AE89*Worksheet!$E$31,2)</f>
        <v>0</v>
      </c>
      <c r="BY89" s="192">
        <f>ROUND(AF89*Worksheet!$E$32,2)</f>
        <v>0</v>
      </c>
      <c r="BZ89" s="192">
        <f>ROUND(AG89*Worksheet!$E$33,2)</f>
        <v>0</v>
      </c>
      <c r="CA89" s="192">
        <f>ROUND(ROUND(AH89*BQ89,2)*Worksheet!$E$34,2)</f>
        <v>0</v>
      </c>
      <c r="CB89" s="192">
        <f>ROUND(AI89*Worksheet!$E$35,2)</f>
        <v>0</v>
      </c>
      <c r="CC89" s="192">
        <f>ROUND(AJ89*Worksheet!$E$36,2)</f>
        <v>0</v>
      </c>
      <c r="CD89" s="192">
        <f>ROUND(AQ89*Worksheet!$E$38,2)</f>
        <v>0</v>
      </c>
      <c r="CE89" s="192">
        <f>ROUND(AR89*Worksheet!$E$39,2)</f>
        <v>0</v>
      </c>
      <c r="CF89" s="192">
        <f>IF(AND(L89&gt;275,SUM(Y89:AD89)&lt;100),ROUND(SUM(Y89:AD89)*Worksheet!$E$41,2),0)</f>
        <v>0</v>
      </c>
      <c r="CG89" s="192">
        <f>IF(AND(L89&gt;600,SUM(Y89:AD89)&lt;50),ROUND((50-SUM(Y89:AD89))*(Worksheet!$E$41+1),2),0)</f>
        <v>0</v>
      </c>
      <c r="CH89" s="192">
        <f t="shared" si="77"/>
        <v>0</v>
      </c>
      <c r="CI89" s="116">
        <f t="shared" si="95"/>
        <v>0</v>
      </c>
      <c r="CJ89" s="116">
        <f t="shared" si="96"/>
        <v>0</v>
      </c>
      <c r="CK89" s="95">
        <f t="shared" si="91"/>
        <v>0</v>
      </c>
      <c r="CL89" s="116">
        <f t="shared" si="97"/>
        <v>0</v>
      </c>
      <c r="CM89" s="116">
        <f t="shared" si="98"/>
        <v>0</v>
      </c>
      <c r="CN89" s="116">
        <f t="shared" si="92"/>
        <v>0</v>
      </c>
      <c r="CO89" s="131">
        <f>ROUND(IF(F89=4,0,(MAX(ROUND(MAX((BI89*MIN(CL89,K89)*Worksheet!$D$126)+MAX(CL89-K89,0)*Worksheet!$F$50,SUM(J89)),2),SUM(CN89))-SUM(CN89))*MinAdj),2)</f>
        <v>0</v>
      </c>
      <c r="CP89" s="192">
        <f t="shared" si="93"/>
        <v>0</v>
      </c>
      <c r="CQ89" s="131">
        <f>IF(CL89=0,0,-MIN(CP89,MIN(CP89,ROUND(IF(ROUND(IF(CL89=0,0,N89/CL89),2)&lt;STVPP*0.2,STVPP*0.2*CL89*Worksheet!$F$88/1000,N89*Worksheet!$F$88/1000),2))))</f>
        <v>0</v>
      </c>
      <c r="CR89" s="193">
        <f>-MIN(SUM(CP89,CQ89),IF($P89=0,(ROUND(Worksheet!$E$77*S89,2)+ROUND(Worksheet!$E$78*T89,2)+ROUND(Worksheet!$E$79*U89,2)+ROUND(Worksheet!$E$80*V89,2)+ROUND(Worksheet!$E$81*W89,2)+ROUND(Worksheet!$E$82*X89,2)),(ROUND(ROUND(S89*ROUND((1-$O89/$P89),4),2)*Worksheet!$E$77,2)+ROUND(ROUND(T89*ROUND((1-$O89/$P89),4),2)*Worksheet!$E$78,2)+ROUND(ROUND(U89*ROUND((1-$O89/$P89),4),2)*Worksheet!$E$79,2)+ROUND(ROUND(V89*ROUND((1-$O89/$P89),4),2)*Worksheet!$E$80,2)+ROUND(ROUND(W89*ROUND((1-$O89/$P89),4),2)*Worksheet!$E$81,2)+ROUND(ROUND(X89*ROUND((1-$O89/$P89),4),2)*Worksheet!$E$82,2))))</f>
        <v>0</v>
      </c>
      <c r="CS89" s="192">
        <f t="shared" si="78"/>
        <v>0</v>
      </c>
      <c r="CT89" s="116">
        <f>ROUND(MIN(BA89,ROUND((ROUND(AS89*Worksheet!$E$104,2)+ROUND(AV89*Worksheet!$E$107,2)+ROUND(AT89*Worksheet!$E$105,2)+ROUND(AW89*Worksheet!$E$108,2)+ROUND(AU89*Worksheet!$E$106,2)+ROUND(AX89*Worksheet!$E$109,2)+ROUND(AY89*Worksheet!$E$110,2)+ROUND(AZ89*Worksheet!$E$111,2))*Worksheet!$D$114,2))*BaseRate,2)</f>
        <v>0</v>
      </c>
      <c r="CU89" s="121">
        <v>0</v>
      </c>
      <c r="CV89" s="121">
        <v>0</v>
      </c>
      <c r="CW89" s="121">
        <v>0</v>
      </c>
      <c r="CX89" s="121">
        <v>0</v>
      </c>
      <c r="CY89" s="121">
        <v>0</v>
      </c>
      <c r="DA89" s="192">
        <f t="shared" si="79"/>
        <v>0</v>
      </c>
      <c r="DB89" s="192">
        <f>MAX(-CT89,MIN(0,ROUND($R89*EFBPercent+EFBAdd,2)-$Q89),MIN(0,SUM($CS89:CS89)+MIN(0,ROUND($R89*EFBPercent+EFBAdd,2)-$Q89)))</f>
        <v>0</v>
      </c>
      <c r="DC89" s="192">
        <f>IF(CU89&lt;0,0,MAX(-CU89,MIN(0,ROUND($R89*EFBPercent+EFBAdd,2)-$Q89),MIN(0,SUM($CS89:CT89)+MIN(0,ROUND($R89*EFBPercent+EFBAdd,2)-$Q89))))</f>
        <v>0</v>
      </c>
      <c r="DD89" s="192">
        <f>IF(CV89&lt;0,0,MAX(-CV89,MIN(0,ROUND($R89*EFBPercent+EFBAdd,2)-$Q89),MIN(0,SUM($CS89:CU89)+MIN(0,ROUND($R89*EFBPercent+EFBAdd,2)-$Q89))))</f>
        <v>0</v>
      </c>
      <c r="DE89" s="192">
        <f>IF(CW89&lt;0,0,MAX(-CW89,MIN(0,ROUND($R89*EFBPercent+EFBAdd,2)-$Q89),MIN(0,SUM($CS89:CV89)+MIN(0,ROUND($R89*EFBPercent+EFBAdd,2)-$Q89))))</f>
        <v>0</v>
      </c>
      <c r="DF89" s="192">
        <f>IF(CX89&lt;0,0,MAX(-CX89,MIN(0,ROUND($R89*EFBPercent+EFBAdd,2)-$Q89),MIN(0,SUM($CS89:CW89)+MIN(0,ROUND($R89*EFBPercent+EFBAdd,2)-$Q89))))</f>
        <v>0</v>
      </c>
      <c r="DG89" s="192">
        <f>MAX(-CY89,MIN(0,ROUND($R89*EFBPercent+EFBAdd,2)-$Q89),MIN(0,SUM($CS89:CX89)+MIN(0,ROUND($R89*EFBPercent+EFBAdd,2)-$Q89)))</f>
        <v>0</v>
      </c>
      <c r="DI89" s="73">
        <f t="shared" si="80"/>
        <v>0</v>
      </c>
      <c r="DJ89" s="73">
        <f t="shared" si="81"/>
        <v>0</v>
      </c>
      <c r="DK89" s="73">
        <f t="shared" si="82"/>
        <v>0</v>
      </c>
      <c r="DL89" s="73">
        <f t="shared" si="83"/>
        <v>0</v>
      </c>
      <c r="DM89" s="73">
        <f t="shared" si="84"/>
        <v>0</v>
      </c>
      <c r="DN89" s="73">
        <f t="shared" si="85"/>
        <v>0</v>
      </c>
      <c r="DO89" s="73">
        <f t="shared" si="86"/>
        <v>0</v>
      </c>
      <c r="DP89" s="73"/>
      <c r="DQ89" s="73"/>
    </row>
    <row r="90" spans="1:121" ht="10.199999999999999" x14ac:dyDescent="0.2">
      <c r="A90" s="4" t="s">
        <v>563</v>
      </c>
      <c r="B90" s="188">
        <v>1166</v>
      </c>
      <c r="C90" s="189" t="s">
        <v>89</v>
      </c>
      <c r="D90" s="4">
        <v>2027</v>
      </c>
      <c r="E90" s="4" t="s">
        <v>404</v>
      </c>
      <c r="F90" s="4">
        <v>1</v>
      </c>
      <c r="G90" s="4" t="s">
        <v>684</v>
      </c>
      <c r="H90" s="4">
        <v>100</v>
      </c>
      <c r="I90" s="4" t="s">
        <v>1091</v>
      </c>
      <c r="J90" s="5">
        <v>5126849</v>
      </c>
      <c r="K90" s="5">
        <v>531.5</v>
      </c>
      <c r="L90" s="5">
        <v>553</v>
      </c>
      <c r="M90" s="5">
        <v>0</v>
      </c>
      <c r="N90" s="5">
        <v>19873568</v>
      </c>
      <c r="O90" s="5">
        <v>13</v>
      </c>
      <c r="P90" s="5">
        <v>103</v>
      </c>
      <c r="Q90" s="5">
        <v>0</v>
      </c>
      <c r="R90" s="5">
        <v>0</v>
      </c>
      <c r="S90" s="5">
        <v>10155</v>
      </c>
      <c r="T90" s="5">
        <v>11167.240000000002</v>
      </c>
      <c r="U90" s="5">
        <v>0</v>
      </c>
      <c r="V90" s="5">
        <v>30495.170000000002</v>
      </c>
      <c r="W90" s="5">
        <v>3109.45</v>
      </c>
      <c r="X90" s="5">
        <v>18753.150000000001</v>
      </c>
      <c r="Y90" s="5">
        <v>1.23</v>
      </c>
      <c r="Z90" s="5">
        <v>27</v>
      </c>
      <c r="AA90" s="5">
        <v>182</v>
      </c>
      <c r="AB90" s="5">
        <v>68</v>
      </c>
      <c r="AC90" s="5">
        <v>141</v>
      </c>
      <c r="AD90" s="5">
        <v>0</v>
      </c>
      <c r="AE90" s="5">
        <v>0</v>
      </c>
      <c r="AF90" s="5">
        <v>0</v>
      </c>
      <c r="AG90" s="5">
        <v>0</v>
      </c>
      <c r="AH90" s="5">
        <v>0.23499999999999999</v>
      </c>
      <c r="AI90" s="5">
        <v>0</v>
      </c>
      <c r="AJ90" s="5">
        <v>0</v>
      </c>
      <c r="AK90" s="5">
        <v>0</v>
      </c>
      <c r="AL90" s="5">
        <v>403.90000000000003</v>
      </c>
      <c r="AM90" s="5">
        <v>0</v>
      </c>
      <c r="AN90" s="5">
        <v>418</v>
      </c>
      <c r="AO90" s="5">
        <f t="shared" si="94"/>
        <v>0</v>
      </c>
      <c r="AP90" s="5">
        <f t="shared" ref="AP90:AP111" si="101">IF(AM90&gt;0,SUM(Z90:AD90)-AN90,0)</f>
        <v>0</v>
      </c>
      <c r="AQ90" s="5">
        <v>1.99</v>
      </c>
      <c r="AR90" s="5">
        <v>0</v>
      </c>
      <c r="AS90" s="5">
        <v>0</v>
      </c>
      <c r="AT90" s="5">
        <v>102900</v>
      </c>
      <c r="AU90" s="5">
        <v>0</v>
      </c>
      <c r="AV90" s="5">
        <v>2100</v>
      </c>
      <c r="AW90" s="199">
        <v>553</v>
      </c>
      <c r="AX90" s="199">
        <v>1</v>
      </c>
      <c r="AY90" s="199">
        <v>0</v>
      </c>
      <c r="AZ90" s="199">
        <v>0</v>
      </c>
      <c r="BA90" s="5">
        <v>349276.32</v>
      </c>
      <c r="BB90" s="13">
        <v>1183301.1599999999</v>
      </c>
      <c r="BC90" s="190">
        <f>MAX(ROUND(IF(F90&lt;4,IF(H90=0,(SUM(Y90:AD90)*Worksheet!$E$26+Y90*Worksheet!$E$27+AR90*Worksheet!$E$39)*-BaseRate,0)),2),MIN(0,-DI90))</f>
        <v>0</v>
      </c>
      <c r="BD90" s="190">
        <f>MAX(ROUND(IF(F90=4,0,IF(I90=0,0,ROUND(SUM(Y90:AD90)*Worksheet!$E$28,2)*-BaseRate)),2),MIN(0,-DI90-BC90))</f>
        <v>-9771.7199999999993</v>
      </c>
      <c r="BE90" s="130">
        <f t="shared" si="87"/>
        <v>0</v>
      </c>
      <c r="BF90" s="130">
        <f t="shared" si="88"/>
        <v>1403</v>
      </c>
      <c r="BG90" s="73"/>
      <c r="BH90" s="191">
        <f t="shared" si="89"/>
        <v>42280.59</v>
      </c>
      <c r="BI90" s="191">
        <f t="shared" si="90"/>
        <v>9646</v>
      </c>
      <c r="BJ90" s="232">
        <f>IFERROR(ROUND(IF(AND(BB90*1.12&lt;N90*60/1000,N90/CL90&lt;STVPP*0.2),(CL90*STVPP*0.2*Worksheet!$F$88/1000-BB90*1.12)*PropTaxAdj,IF(BB90*1.12&lt;N90*60/1000,(N90*60/1000-BB90*1.12)*PropTaxAdj,0)),2),0)</f>
        <v>0</v>
      </c>
      <c r="BK90" s="192">
        <f>ROUND(IF($F90=4,0,Y90*Worksheet!$E$16),2)</f>
        <v>1.23</v>
      </c>
      <c r="BL90" s="192">
        <f>ROUND(IF($F90=4,0,Z90*Worksheet!$E$17),2)</f>
        <v>27</v>
      </c>
      <c r="BM90" s="192">
        <f>ROUND(IF($F90=4,0,AA90*Worksheet!$E$18),2)</f>
        <v>182</v>
      </c>
      <c r="BN90" s="192">
        <f>ROUND(IF($F90=4,0,AB90*Worksheet!$E$19),2)</f>
        <v>68</v>
      </c>
      <c r="BO90" s="192">
        <f>ROUND(IF($F90=4,0,AC90*Worksheet!$E$20),2)</f>
        <v>141</v>
      </c>
      <c r="BP90" s="192">
        <f>ROUND(AD90*Worksheet!$E$21,2)</f>
        <v>0</v>
      </c>
      <c r="BQ90" s="192">
        <f t="shared" si="76"/>
        <v>419.23</v>
      </c>
      <c r="BR90" s="192">
        <f>ROUND(AD90*Worksheet!$E$25,2)</f>
        <v>0</v>
      </c>
      <c r="BS90" s="192">
        <f>ROUND(SUM(BQ90)*Worksheet!$E$26,2)</f>
        <v>36.89</v>
      </c>
      <c r="BT90" s="192">
        <f>ROUND(Y90*Worksheet!$E$27,2)</f>
        <v>0.21</v>
      </c>
      <c r="BU90" s="192">
        <f>ROUND(AO90*Worksheet!$E$29,2)</f>
        <v>0</v>
      </c>
      <c r="BV90" s="192">
        <f>ROUND(AP90*Worksheet!$E$30,2)</f>
        <v>0</v>
      </c>
      <c r="BW90" s="192">
        <f>ROUND(IF($I90&lt;&gt;0,$BQ90*Worksheet!$E$28,0),2)</f>
        <v>0.84</v>
      </c>
      <c r="BX90" s="192">
        <f>ROUND(AE90*Worksheet!$E$31,2)</f>
        <v>0</v>
      </c>
      <c r="BY90" s="192">
        <f>ROUND(AF90*Worksheet!$E$32,2)</f>
        <v>0</v>
      </c>
      <c r="BZ90" s="192">
        <f>ROUND(AG90*Worksheet!$E$33,2)</f>
        <v>0</v>
      </c>
      <c r="CA90" s="192">
        <f>ROUND(ROUND(AH90*BQ90,2)*Worksheet!$E$34,2)</f>
        <v>2.46</v>
      </c>
      <c r="CB90" s="192">
        <f>ROUND(AI90*Worksheet!$E$35,2)</f>
        <v>0</v>
      </c>
      <c r="CC90" s="192">
        <f>ROUND(AJ90*Worksheet!$E$36,2)</f>
        <v>0</v>
      </c>
      <c r="CD90" s="192">
        <f>ROUND(AQ90*Worksheet!$E$38,2)</f>
        <v>1.19</v>
      </c>
      <c r="CE90" s="192">
        <f>ROUND(AR90*Worksheet!$E$39,2)</f>
        <v>0</v>
      </c>
      <c r="CF90" s="192">
        <f>IF(AND(L90&gt;275,SUM(Y90:AD90)&lt;100),ROUND(SUM(Y90:AD90)*Worksheet!$E$41,2),0)</f>
        <v>0</v>
      </c>
      <c r="CG90" s="192">
        <f>IF(AND(L90&gt;600,SUM(Y90:AD90)&lt;50),ROUND((50-SUM(Y90:AD90))*(Worksheet!$E$41+1),2),0)</f>
        <v>0</v>
      </c>
      <c r="CH90" s="192">
        <f t="shared" si="77"/>
        <v>460.81999999999994</v>
      </c>
      <c r="CI90" s="116">
        <f t="shared" si="95"/>
        <v>0</v>
      </c>
      <c r="CJ90" s="116">
        <f t="shared" si="96"/>
        <v>460.81999999999994</v>
      </c>
      <c r="CK90" s="95">
        <f t="shared" si="91"/>
        <v>1.02</v>
      </c>
      <c r="CL90" s="116">
        <f t="shared" si="97"/>
        <v>470.04</v>
      </c>
      <c r="CM90" s="116">
        <f t="shared" si="98"/>
        <v>470.04</v>
      </c>
      <c r="CN90" s="116">
        <f t="shared" si="92"/>
        <v>5467975.3200000003</v>
      </c>
      <c r="CO90" s="131">
        <f>ROUND(IF(F90=4,0,(MAX(ROUND(MAX((BI90*MIN(CL90,K90)*Worksheet!$D$126)+MAX(CL90-K90,0)*Worksheet!$F$50,SUM(J90)),2),SUM(CN90))-SUM(CN90))*MinAdj),2)</f>
        <v>0</v>
      </c>
      <c r="CP90" s="192">
        <f t="shared" si="93"/>
        <v>5467975.3200000003</v>
      </c>
      <c r="CQ90" s="131">
        <f>IF(CL90=0,0,-MIN(CP90,MIN(CP90,ROUND(IF(ROUND(IF(CL90=0,0,N90/CL90),2)&lt;STVPP*0.2,STVPP*0.2*CL90*Worksheet!$F$88/1000,N90*Worksheet!$F$88/1000),2))))</f>
        <v>-1192414.08</v>
      </c>
      <c r="CR90" s="193">
        <f>-MIN(SUM(CP90,CQ90),IF($P90=0,(ROUND(Worksheet!$E$77*S90,2)+ROUND(Worksheet!$E$78*T90,2)+ROUND(Worksheet!$E$79*U90,2)+ROUND(Worksheet!$E$80*V90,2)+ROUND(Worksheet!$E$81*W90,2)+ROUND(Worksheet!$E$82*X90,2)),(ROUND(ROUND(S90*ROUND((1-$O90/$P90),4),2)*Worksheet!$E$77,2)+ROUND(ROUND(T90*ROUND((1-$O90/$P90),4),2)*Worksheet!$E$78,2)+ROUND(ROUND(U90*ROUND((1-$O90/$P90),4),2)*Worksheet!$E$79,2)+ROUND(ROUND(V90*ROUND((1-$O90/$P90),4),2)*Worksheet!$E$80,2)+ROUND(ROUND(W90*ROUND((1-$O90/$P90),4),2)*Worksheet!$E$81,2)+ROUND(ROUND(X90*ROUND((1-$O90/$P90),4),2)*Worksheet!$E$82,2))))</f>
        <v>-48286.19999999999</v>
      </c>
      <c r="CS90" s="192">
        <f t="shared" si="78"/>
        <v>4227275.04</v>
      </c>
      <c r="CT90" s="116">
        <f>ROUND(MIN(BA90,ROUND((ROUND(AS90*Worksheet!$E$104,2)+ROUND(AV90*Worksheet!$E$107,2)+ROUND(AT90*Worksheet!$E$105,2)+ROUND(AW90*Worksheet!$E$108,2)+ROUND(AU90*Worksheet!$E$106,2)+ROUND(AX90*Worksheet!$E$109,2)+ROUND(AY90*Worksheet!$E$110,2)+ROUND(AZ90*Worksheet!$E$111,2))*Worksheet!$D$114,2))*BaseRate,2)</f>
        <v>151229</v>
      </c>
      <c r="CU90" s="121">
        <v>0</v>
      </c>
      <c r="CV90" s="121">
        <v>0</v>
      </c>
      <c r="CW90" s="121">
        <v>0</v>
      </c>
      <c r="CX90" s="121">
        <v>0</v>
      </c>
      <c r="CY90" s="121">
        <v>0</v>
      </c>
      <c r="DA90" s="192">
        <f t="shared" si="79"/>
        <v>0</v>
      </c>
      <c r="DB90" s="192">
        <f>MAX(-CT90,MIN(0,ROUND($R90*EFBPercent+EFBAdd,2)-$Q90),MIN(0,SUM($CS90:CS90)+MIN(0,ROUND($R90*EFBPercent+EFBAdd,2)-$Q90)))</f>
        <v>0</v>
      </c>
      <c r="DC90" s="192">
        <f>IF(CU90&lt;0,0,MAX(-CU90,MIN(0,ROUND($R90*EFBPercent+EFBAdd,2)-$Q90),MIN(0,SUM($CS90:CT90)+MIN(0,ROUND($R90*EFBPercent+EFBAdd,2)-$Q90))))</f>
        <v>0</v>
      </c>
      <c r="DD90" s="192">
        <f>IF(CV90&lt;0,0,MAX(-CV90,MIN(0,ROUND($R90*EFBPercent+EFBAdd,2)-$Q90),MIN(0,SUM($CS90:CU90)+MIN(0,ROUND($R90*EFBPercent+EFBAdd,2)-$Q90))))</f>
        <v>0</v>
      </c>
      <c r="DE90" s="192">
        <f>IF(CW90&lt;0,0,MAX(-CW90,MIN(0,ROUND($R90*EFBPercent+EFBAdd,2)-$Q90),MIN(0,SUM($CS90:CV90)+MIN(0,ROUND($R90*EFBPercent+EFBAdd,2)-$Q90))))</f>
        <v>0</v>
      </c>
      <c r="DF90" s="192">
        <f>IF(CX90&lt;0,0,MAX(-CX90,MIN(0,ROUND($R90*EFBPercent+EFBAdd,2)-$Q90),MIN(0,SUM($CS90:CW90)+MIN(0,ROUND($R90*EFBPercent+EFBAdd,2)-$Q90))))</f>
        <v>0</v>
      </c>
      <c r="DG90" s="192">
        <f>MAX(-CY90,MIN(0,ROUND($R90*EFBPercent+EFBAdd,2)-$Q90),MIN(0,SUM($CS90:CX90)+MIN(0,ROUND($R90*EFBPercent+EFBAdd,2)-$Q90)))</f>
        <v>0</v>
      </c>
      <c r="DI90" s="73">
        <f t="shared" si="80"/>
        <v>4227275.04</v>
      </c>
      <c r="DJ90" s="73">
        <f t="shared" si="81"/>
        <v>151229</v>
      </c>
      <c r="DK90" s="73">
        <f t="shared" si="82"/>
        <v>0</v>
      </c>
      <c r="DL90" s="73">
        <f t="shared" si="83"/>
        <v>0</v>
      </c>
      <c r="DM90" s="73">
        <f t="shared" si="84"/>
        <v>0</v>
      </c>
      <c r="DN90" s="73">
        <f t="shared" si="85"/>
        <v>0</v>
      </c>
      <c r="DO90" s="73">
        <f t="shared" si="86"/>
        <v>0</v>
      </c>
      <c r="DP90" s="73"/>
      <c r="DQ90" s="73"/>
    </row>
    <row r="91" spans="1:121" ht="10.199999999999999" x14ac:dyDescent="0.2">
      <c r="A91" s="4" t="s">
        <v>564</v>
      </c>
      <c r="B91" s="188">
        <v>1002</v>
      </c>
      <c r="C91" s="189" t="s">
        <v>90</v>
      </c>
      <c r="D91" s="4">
        <v>2027</v>
      </c>
      <c r="E91" s="4" t="s">
        <v>405</v>
      </c>
      <c r="F91" s="4">
        <v>2</v>
      </c>
      <c r="G91" s="4" t="s">
        <v>1130</v>
      </c>
      <c r="H91" s="4">
        <v>100</v>
      </c>
      <c r="I91" s="4" t="s">
        <v>855</v>
      </c>
      <c r="J91" s="5">
        <v>1306454.24</v>
      </c>
      <c r="K91" s="5">
        <v>135.44</v>
      </c>
      <c r="L91" s="5">
        <v>205.31</v>
      </c>
      <c r="M91" s="5">
        <v>0</v>
      </c>
      <c r="N91" s="5">
        <v>4905855</v>
      </c>
      <c r="O91" s="5">
        <v>0</v>
      </c>
      <c r="P91" s="5">
        <v>69.970000000000013</v>
      </c>
      <c r="Q91" s="5">
        <v>0</v>
      </c>
      <c r="R91" s="5">
        <v>0</v>
      </c>
      <c r="S91" s="5">
        <v>1767.15</v>
      </c>
      <c r="T91" s="5">
        <v>1252.0899999999999</v>
      </c>
      <c r="U91" s="5">
        <v>0</v>
      </c>
      <c r="V91" s="5">
        <v>3569.34</v>
      </c>
      <c r="W91" s="5">
        <v>21067.809999999998</v>
      </c>
      <c r="X91" s="5">
        <v>6674.3369999999995</v>
      </c>
      <c r="Y91" s="5">
        <v>0.1</v>
      </c>
      <c r="Z91" s="5">
        <v>8</v>
      </c>
      <c r="AA91" s="5">
        <v>65</v>
      </c>
      <c r="AB91" s="5">
        <v>0</v>
      </c>
      <c r="AC91" s="5">
        <v>0</v>
      </c>
      <c r="AD91" s="5">
        <v>0</v>
      </c>
      <c r="AE91" s="5">
        <v>0</v>
      </c>
      <c r="AF91" s="5">
        <v>0</v>
      </c>
      <c r="AG91" s="5">
        <v>0</v>
      </c>
      <c r="AH91" s="5">
        <v>0.35499999999999998</v>
      </c>
      <c r="AI91" s="5">
        <v>0</v>
      </c>
      <c r="AJ91" s="5">
        <v>0</v>
      </c>
      <c r="AK91" s="5">
        <v>0</v>
      </c>
      <c r="AL91" s="5">
        <v>72.150000000000006</v>
      </c>
      <c r="AM91" s="5">
        <v>0</v>
      </c>
      <c r="AN91" s="5">
        <v>73</v>
      </c>
      <c r="AO91" s="5">
        <f t="shared" si="94"/>
        <v>0</v>
      </c>
      <c r="AP91" s="5">
        <f t="shared" si="101"/>
        <v>0</v>
      </c>
      <c r="AQ91" s="5">
        <v>0</v>
      </c>
      <c r="AR91" s="5">
        <v>0.02</v>
      </c>
      <c r="AS91" s="5">
        <v>1036</v>
      </c>
      <c r="AT91" s="5">
        <v>66790</v>
      </c>
      <c r="AU91" s="5">
        <v>74</v>
      </c>
      <c r="AV91" s="5">
        <v>2488</v>
      </c>
      <c r="AW91" s="199">
        <v>205.31</v>
      </c>
      <c r="AX91" s="199">
        <v>1</v>
      </c>
      <c r="AY91" s="199">
        <v>0</v>
      </c>
      <c r="AZ91" s="199">
        <v>0</v>
      </c>
      <c r="BA91" s="5">
        <v>145936.93</v>
      </c>
      <c r="BB91" s="13">
        <v>296158.32</v>
      </c>
      <c r="BC91" s="190">
        <f>MAX(ROUND(IF(F91&lt;4,IF(H91=0,(SUM(Y91:AD91)*Worksheet!$E$26+Y91*Worksheet!$E$27+AR91*Worksheet!$E$39)*-BaseRate,0)),2),MIN(0,-DI91))</f>
        <v>0</v>
      </c>
      <c r="BD91" s="190">
        <f>MAX(ROUND(IF(F91=4,0,IF(I91=0,0,ROUND(SUM(Y91:AD91)*Worksheet!$E$28,2)*-BaseRate)),2),MIN(0,-DI91-BC91))</f>
        <v>-1744.95</v>
      </c>
      <c r="BE91" s="130">
        <f t="shared" si="87"/>
        <v>0</v>
      </c>
      <c r="BF91" s="130">
        <f t="shared" si="88"/>
        <v>1404</v>
      </c>
      <c r="BG91" s="73"/>
      <c r="BH91" s="191">
        <f t="shared" si="89"/>
        <v>37449.269999999997</v>
      </c>
      <c r="BI91" s="191">
        <f t="shared" si="90"/>
        <v>9646</v>
      </c>
      <c r="BJ91" s="232">
        <f>IFERROR(ROUND(IF(AND(BB91*1.12&lt;N91*60/1000,N91/CL91&lt;STVPP*0.2),(CL91*STVPP*0.2*Worksheet!$F$88/1000-BB91*1.12)*PropTaxAdj,IF(BB91*1.12&lt;N91*60/1000,(N91*60/1000-BB91*1.12)*PropTaxAdj,0)),2),0)</f>
        <v>0</v>
      </c>
      <c r="BK91" s="192">
        <f>ROUND(IF($F91=4,0,Y91*Worksheet!$E$16),2)</f>
        <v>0.1</v>
      </c>
      <c r="BL91" s="192">
        <f>ROUND(IF($F91=4,0,Z91*Worksheet!$E$17),2)</f>
        <v>8</v>
      </c>
      <c r="BM91" s="192">
        <f>ROUND(IF($F91=4,0,AA91*Worksheet!$E$18),2)</f>
        <v>65</v>
      </c>
      <c r="BN91" s="192">
        <f>ROUND(IF($F91=4,0,AB91*Worksheet!$E$19),2)</f>
        <v>0</v>
      </c>
      <c r="BO91" s="192">
        <f>ROUND(IF($F91=4,0,AC91*Worksheet!$E$20),2)</f>
        <v>0</v>
      </c>
      <c r="BP91" s="192">
        <f>ROUND(AD91*Worksheet!$E$21,2)</f>
        <v>0</v>
      </c>
      <c r="BQ91" s="192">
        <f t="shared" si="76"/>
        <v>73.099999999999994</v>
      </c>
      <c r="BR91" s="192">
        <f>ROUND(AD91*Worksheet!$E$25,2)</f>
        <v>0</v>
      </c>
      <c r="BS91" s="192">
        <f>ROUND(SUM(BQ91)*Worksheet!$E$26,2)</f>
        <v>6.43</v>
      </c>
      <c r="BT91" s="192">
        <f>ROUND(Y91*Worksheet!$E$27,2)</f>
        <v>0.02</v>
      </c>
      <c r="BU91" s="192">
        <f>ROUND(AO91*Worksheet!$E$29,2)</f>
        <v>0</v>
      </c>
      <c r="BV91" s="192">
        <f>ROUND(AP91*Worksheet!$E$30,2)</f>
        <v>0</v>
      </c>
      <c r="BW91" s="192">
        <f>ROUND(IF($I91&lt;&gt;0,$BQ91*Worksheet!$E$28,0),2)</f>
        <v>0.15</v>
      </c>
      <c r="BX91" s="192">
        <f>ROUND(AE91*Worksheet!$E$31,2)</f>
        <v>0</v>
      </c>
      <c r="BY91" s="192">
        <f>ROUND(AF91*Worksheet!$E$32,2)</f>
        <v>0</v>
      </c>
      <c r="BZ91" s="192">
        <f>ROUND(AG91*Worksheet!$E$33,2)</f>
        <v>0</v>
      </c>
      <c r="CA91" s="192">
        <f>ROUND(ROUND(AH91*BQ91,2)*Worksheet!$E$34,2)</f>
        <v>0.65</v>
      </c>
      <c r="CB91" s="192">
        <f>ROUND(AI91*Worksheet!$E$35,2)</f>
        <v>0</v>
      </c>
      <c r="CC91" s="192">
        <f>ROUND(AJ91*Worksheet!$E$36,2)</f>
        <v>0</v>
      </c>
      <c r="CD91" s="192">
        <f>ROUND(AQ91*Worksheet!$E$38,2)</f>
        <v>0</v>
      </c>
      <c r="CE91" s="192">
        <f>ROUND(AR91*Worksheet!$E$39,2)</f>
        <v>0.02</v>
      </c>
      <c r="CF91" s="192">
        <f>IF(AND(L91&gt;275,SUM(Y91:AD91)&lt;100),ROUND(SUM(Y91:AD91)*Worksheet!$E$41,2),0)</f>
        <v>0</v>
      </c>
      <c r="CG91" s="192">
        <f>IF(AND(L91&gt;600,SUM(Y91:AD91)&lt;50),ROUND((50-SUM(Y91:AD91))*(Worksheet!$E$41+1),2),0)</f>
        <v>0</v>
      </c>
      <c r="CH91" s="192">
        <f t="shared" si="77"/>
        <v>80.37</v>
      </c>
      <c r="CI91" s="116">
        <f t="shared" si="95"/>
        <v>0</v>
      </c>
      <c r="CJ91" s="116">
        <f t="shared" si="96"/>
        <v>80.37</v>
      </c>
      <c r="CK91" s="95">
        <f t="shared" si="91"/>
        <v>1.63</v>
      </c>
      <c r="CL91" s="116">
        <f t="shared" si="97"/>
        <v>131</v>
      </c>
      <c r="CM91" s="116">
        <f t="shared" si="98"/>
        <v>131</v>
      </c>
      <c r="CN91" s="116">
        <f t="shared" si="92"/>
        <v>1523923</v>
      </c>
      <c r="CO91" s="131">
        <f>ROUND(IF(F91=4,0,(MAX(ROUND(MAX((BI91*MIN(CL91,K91)*Worksheet!$D$126)+MAX(CL91-K91,0)*Worksheet!$F$50,SUM(J91)),2),SUM(CN91))-SUM(CN91))*MinAdj),2)</f>
        <v>0</v>
      </c>
      <c r="CP91" s="192">
        <f t="shared" si="93"/>
        <v>1523923</v>
      </c>
      <c r="CQ91" s="131">
        <f>IF(CL91=0,0,-MIN(CP91,MIN(CP91,ROUND(IF(ROUND(IF(CL91=0,0,N91/CL91),2)&lt;STVPP*0.2,STVPP*0.2*CL91*Worksheet!$F$88/1000,N91*Worksheet!$F$88/1000),2))))</f>
        <v>-294351.3</v>
      </c>
      <c r="CR91" s="193">
        <f>-MIN(SUM(CP91,CQ91),IF($P91=0,(ROUND(Worksheet!$E$77*S91,2)+ROUND(Worksheet!$E$78*T91,2)+ROUND(Worksheet!$E$79*U91,2)+ROUND(Worksheet!$E$80*V91,2)+ROUND(Worksheet!$E$81*W91,2)+ROUND(Worksheet!$E$82*X91,2)),(ROUND(ROUND(S91*ROUND((1-$O91/$P91),4),2)*Worksheet!$E$77,2)+ROUND(ROUND(T91*ROUND((1-$O91/$P91),4),2)*Worksheet!$E$78,2)+ROUND(ROUND(U91*ROUND((1-$O91/$P91),4),2)*Worksheet!$E$79,2)+ROUND(ROUND(V91*ROUND((1-$O91/$P91),4),2)*Worksheet!$E$80,2)+ROUND(ROUND(W91*ROUND((1-$O91/$P91),4),2)*Worksheet!$E$81,2)+ROUND(ROUND(X91*ROUND((1-$O91/$P91),4),2)*Worksheet!$E$82,2))))</f>
        <v>-25748.060000000005</v>
      </c>
      <c r="CS91" s="192">
        <f t="shared" si="78"/>
        <v>1203823.6399999999</v>
      </c>
      <c r="CT91" s="116">
        <f>ROUND(MIN(BA91,ROUND((ROUND(AS91*Worksheet!$E$104,2)+ROUND(AV91*Worksheet!$E$107,2)+ROUND(AT91*Worksheet!$E$105,2)+ROUND(AW91*Worksheet!$E$108,2)+ROUND(AU91*Worksheet!$E$106,2)+ROUND(AX91*Worksheet!$E$109,2)+ROUND(AY91*Worksheet!$E$110,2)+ROUND(AZ91*Worksheet!$E$111,2))*Worksheet!$D$114,2))*BaseRate,2)</f>
        <v>109815.52</v>
      </c>
      <c r="CU91" s="121">
        <v>0</v>
      </c>
      <c r="CV91" s="121">
        <v>0</v>
      </c>
      <c r="CW91" s="121">
        <v>0</v>
      </c>
      <c r="CX91" s="121">
        <v>0</v>
      </c>
      <c r="CY91" s="121">
        <v>0</v>
      </c>
      <c r="DA91" s="192">
        <f t="shared" si="79"/>
        <v>0</v>
      </c>
      <c r="DB91" s="192">
        <f>MAX(-CT91,MIN(0,ROUND($R91*EFBPercent+EFBAdd,2)-$Q91),MIN(0,SUM($CS91:CS91)+MIN(0,ROUND($R91*EFBPercent+EFBAdd,2)-$Q91)))</f>
        <v>0</v>
      </c>
      <c r="DC91" s="192">
        <f>IF(CU91&lt;0,0,MAX(-CU91,MIN(0,ROUND($R91*EFBPercent+EFBAdd,2)-$Q91),MIN(0,SUM($CS91:CT91)+MIN(0,ROUND($R91*EFBPercent+EFBAdd,2)-$Q91))))</f>
        <v>0</v>
      </c>
      <c r="DD91" s="192">
        <f>IF(CV91&lt;0,0,MAX(-CV91,MIN(0,ROUND($R91*EFBPercent+EFBAdd,2)-$Q91),MIN(0,SUM($CS91:CU91)+MIN(0,ROUND($R91*EFBPercent+EFBAdd,2)-$Q91))))</f>
        <v>0</v>
      </c>
      <c r="DE91" s="192">
        <f>IF(CW91&lt;0,0,MAX(-CW91,MIN(0,ROUND($R91*EFBPercent+EFBAdd,2)-$Q91),MIN(0,SUM($CS91:CV91)+MIN(0,ROUND($R91*EFBPercent+EFBAdd,2)-$Q91))))</f>
        <v>0</v>
      </c>
      <c r="DF91" s="192">
        <f>IF(CX91&lt;0,0,MAX(-CX91,MIN(0,ROUND($R91*EFBPercent+EFBAdd,2)-$Q91),MIN(0,SUM($CS91:CW91)+MIN(0,ROUND($R91*EFBPercent+EFBAdd,2)-$Q91))))</f>
        <v>0</v>
      </c>
      <c r="DG91" s="192">
        <f>MAX(-CY91,MIN(0,ROUND($R91*EFBPercent+EFBAdd,2)-$Q91),MIN(0,SUM($CS91:CX91)+MIN(0,ROUND($R91*EFBPercent+EFBAdd,2)-$Q91)))</f>
        <v>0</v>
      </c>
      <c r="DI91" s="73">
        <f t="shared" si="80"/>
        <v>1203823.6399999999</v>
      </c>
      <c r="DJ91" s="73">
        <f t="shared" si="81"/>
        <v>109815.52</v>
      </c>
      <c r="DK91" s="73">
        <f t="shared" si="82"/>
        <v>0</v>
      </c>
      <c r="DL91" s="73">
        <f t="shared" si="83"/>
        <v>0</v>
      </c>
      <c r="DM91" s="73">
        <f t="shared" si="84"/>
        <v>0</v>
      </c>
      <c r="DN91" s="73">
        <f t="shared" si="85"/>
        <v>0</v>
      </c>
      <c r="DO91" s="73">
        <f t="shared" si="86"/>
        <v>0</v>
      </c>
      <c r="DP91" s="73"/>
      <c r="DQ91" s="73"/>
    </row>
    <row r="92" spans="1:121" ht="10.199999999999999" x14ac:dyDescent="0.2">
      <c r="A92" s="4" t="s">
        <v>565</v>
      </c>
      <c r="B92" s="188">
        <v>1028</v>
      </c>
      <c r="C92" s="189" t="s">
        <v>91</v>
      </c>
      <c r="D92" s="4">
        <v>2027</v>
      </c>
      <c r="E92" s="4" t="s">
        <v>406</v>
      </c>
      <c r="F92" s="4">
        <v>1</v>
      </c>
      <c r="G92" s="4" t="s">
        <v>1130</v>
      </c>
      <c r="H92" s="4">
        <v>100</v>
      </c>
      <c r="I92" s="4" t="s">
        <v>855</v>
      </c>
      <c r="J92" s="5">
        <v>1449001.38</v>
      </c>
      <c r="K92" s="5">
        <v>132.82</v>
      </c>
      <c r="L92" s="5">
        <v>434.77</v>
      </c>
      <c r="M92" s="5">
        <v>0</v>
      </c>
      <c r="N92" s="5">
        <v>9575887</v>
      </c>
      <c r="O92" s="5">
        <v>0</v>
      </c>
      <c r="P92" s="5">
        <v>70.739999999999995</v>
      </c>
      <c r="Q92" s="5">
        <v>0</v>
      </c>
      <c r="R92" s="5">
        <v>0</v>
      </c>
      <c r="S92" s="5">
        <v>0</v>
      </c>
      <c r="T92" s="5">
        <v>1418.53</v>
      </c>
      <c r="U92" s="5">
        <v>0</v>
      </c>
      <c r="V92" s="5">
        <v>9801.3799999999992</v>
      </c>
      <c r="W92" s="5">
        <v>2735.7200000000003</v>
      </c>
      <c r="X92" s="5">
        <v>11504.789999999999</v>
      </c>
      <c r="Y92" s="5">
        <v>0</v>
      </c>
      <c r="Z92" s="5">
        <v>0</v>
      </c>
      <c r="AA92" s="5">
        <v>0</v>
      </c>
      <c r="AB92" s="5">
        <v>18</v>
      </c>
      <c r="AC92" s="5">
        <v>50</v>
      </c>
      <c r="AD92" s="5">
        <v>0</v>
      </c>
      <c r="AE92" s="5">
        <v>0</v>
      </c>
      <c r="AF92" s="5">
        <v>0</v>
      </c>
      <c r="AG92" s="5">
        <v>0</v>
      </c>
      <c r="AH92" s="5">
        <v>0.38</v>
      </c>
      <c r="AI92" s="5">
        <v>0</v>
      </c>
      <c r="AJ92" s="5">
        <v>0</v>
      </c>
      <c r="AK92" s="5">
        <v>0</v>
      </c>
      <c r="AL92" s="5">
        <v>64.22</v>
      </c>
      <c r="AM92" s="5">
        <v>0</v>
      </c>
      <c r="AN92" s="5">
        <v>68</v>
      </c>
      <c r="AO92" s="5">
        <f t="shared" si="94"/>
        <v>0</v>
      </c>
      <c r="AP92" s="5">
        <f t="shared" si="101"/>
        <v>0</v>
      </c>
      <c r="AQ92" s="5">
        <v>0.75</v>
      </c>
      <c r="AR92" s="5">
        <v>0.03</v>
      </c>
      <c r="AS92" s="5">
        <v>0</v>
      </c>
      <c r="AT92" s="5">
        <v>68550</v>
      </c>
      <c r="AU92" s="5">
        <v>0</v>
      </c>
      <c r="AV92" s="5">
        <v>2600</v>
      </c>
      <c r="AW92" s="199">
        <v>434.77</v>
      </c>
      <c r="AX92" s="199">
        <v>1</v>
      </c>
      <c r="AY92" s="199">
        <v>14246</v>
      </c>
      <c r="AZ92" s="199">
        <v>0</v>
      </c>
      <c r="BA92" s="5">
        <v>197986.72</v>
      </c>
      <c r="BB92" s="13">
        <v>574619.76</v>
      </c>
      <c r="BC92" s="190">
        <f>MAX(ROUND(IF(F92&lt;4,IF(H92=0,(SUM(Y92:AD92)*Worksheet!$E$26+Y92*Worksheet!$E$27+AR92*Worksheet!$E$39)*-BaseRate,0)),2),MIN(0,-DI92))</f>
        <v>0</v>
      </c>
      <c r="BD92" s="190">
        <f>MAX(ROUND(IF(F92=4,0,IF(I92=0,0,ROUND(SUM(Y92:AD92)*Worksheet!$E$28,2)*-BaseRate)),2),MIN(0,-DI92-BC92))</f>
        <v>-1628.62</v>
      </c>
      <c r="BE92" s="130">
        <f t="shared" si="87"/>
        <v>0</v>
      </c>
      <c r="BF92" s="130">
        <f t="shared" si="88"/>
        <v>1404</v>
      </c>
      <c r="BG92" s="73"/>
      <c r="BH92" s="191">
        <f t="shared" si="89"/>
        <v>69886.78</v>
      </c>
      <c r="BI92" s="191">
        <f t="shared" si="90"/>
        <v>10909.51</v>
      </c>
      <c r="BJ92" s="232">
        <f>IFERROR(ROUND(IF(AND(BB92*1.12&lt;N92*60/1000,N92/CL92&lt;STVPP*0.2),(CL92*STVPP*0.2*Worksheet!$F$88/1000-BB92*1.12)*PropTaxAdj,IF(BB92*1.12&lt;N92*60/1000,(N92*60/1000-BB92*1.12)*PropTaxAdj,0)),2),0)</f>
        <v>0</v>
      </c>
      <c r="BK92" s="192">
        <f>ROUND(IF($F92=4,0,Y92*Worksheet!$E$16),2)</f>
        <v>0</v>
      </c>
      <c r="BL92" s="192">
        <f>ROUND(IF($F92=4,0,Z92*Worksheet!$E$17),2)</f>
        <v>0</v>
      </c>
      <c r="BM92" s="192">
        <f>ROUND(IF($F92=4,0,AA92*Worksheet!$E$18),2)</f>
        <v>0</v>
      </c>
      <c r="BN92" s="192">
        <f>ROUND(IF($F92=4,0,AB92*Worksheet!$E$19),2)</f>
        <v>18</v>
      </c>
      <c r="BO92" s="192">
        <f>ROUND(IF($F92=4,0,AC92*Worksheet!$E$20),2)</f>
        <v>50</v>
      </c>
      <c r="BP92" s="192">
        <f>ROUND(AD92*Worksheet!$E$21,2)</f>
        <v>0</v>
      </c>
      <c r="BQ92" s="192">
        <f t="shared" si="76"/>
        <v>68</v>
      </c>
      <c r="BR92" s="192">
        <f>ROUND(AD92*Worksheet!$E$25,2)</f>
        <v>0</v>
      </c>
      <c r="BS92" s="192">
        <f>ROUND(SUM(BQ92)*Worksheet!$E$26,2)</f>
        <v>5.98</v>
      </c>
      <c r="BT92" s="192">
        <f>ROUND(Y92*Worksheet!$E$27,2)</f>
        <v>0</v>
      </c>
      <c r="BU92" s="192">
        <f>ROUND(AO92*Worksheet!$E$29,2)</f>
        <v>0</v>
      </c>
      <c r="BV92" s="192">
        <f>ROUND(AP92*Worksheet!$E$30,2)</f>
        <v>0</v>
      </c>
      <c r="BW92" s="192">
        <f>ROUND(IF($I92&lt;&gt;0,$BQ92*Worksheet!$E$28,0),2)</f>
        <v>0.14000000000000001</v>
      </c>
      <c r="BX92" s="192">
        <f>ROUND(AE92*Worksheet!$E$31,2)</f>
        <v>0</v>
      </c>
      <c r="BY92" s="192">
        <f>ROUND(AF92*Worksheet!$E$32,2)</f>
        <v>0</v>
      </c>
      <c r="BZ92" s="192">
        <f>ROUND(AG92*Worksheet!$E$33,2)</f>
        <v>0</v>
      </c>
      <c r="CA92" s="192">
        <f>ROUND(ROUND(AH92*BQ92,2)*Worksheet!$E$34,2)</f>
        <v>0.65</v>
      </c>
      <c r="CB92" s="192">
        <f>ROUND(AI92*Worksheet!$E$35,2)</f>
        <v>0</v>
      </c>
      <c r="CC92" s="192">
        <f>ROUND(AJ92*Worksheet!$E$36,2)</f>
        <v>0</v>
      </c>
      <c r="CD92" s="192">
        <f>ROUND(AQ92*Worksheet!$E$38,2)</f>
        <v>0.45</v>
      </c>
      <c r="CE92" s="192">
        <f>ROUND(AR92*Worksheet!$E$39,2)</f>
        <v>0.03</v>
      </c>
      <c r="CF92" s="192">
        <f>IF(AND(L92&gt;275,SUM(Y92:AD92)&lt;100),ROUND(SUM(Y92:AD92)*Worksheet!$E$41,2),0)</f>
        <v>6.8</v>
      </c>
      <c r="CG92" s="192">
        <f>IF(AND(L92&gt;600,SUM(Y92:AD92)&lt;50),ROUND((50-SUM(Y92:AD92))*(Worksheet!$E$41+1),2),0)</f>
        <v>0</v>
      </c>
      <c r="CH92" s="192">
        <f t="shared" si="77"/>
        <v>82.050000000000011</v>
      </c>
      <c r="CI92" s="116">
        <f t="shared" si="95"/>
        <v>0</v>
      </c>
      <c r="CJ92" s="116">
        <f t="shared" si="96"/>
        <v>82.050000000000011</v>
      </c>
      <c r="CK92" s="95">
        <f t="shared" si="91"/>
        <v>1.67</v>
      </c>
      <c r="CL92" s="116">
        <f t="shared" si="97"/>
        <v>137.02000000000001</v>
      </c>
      <c r="CM92" s="116">
        <f t="shared" si="98"/>
        <v>137.02000000000001</v>
      </c>
      <c r="CN92" s="116">
        <f t="shared" si="92"/>
        <v>1593953.66</v>
      </c>
      <c r="CO92" s="131">
        <f>ROUND(IF(F92=4,0,(MAX(ROUND(MAX((BI92*MIN(CL92,K92)*Worksheet!$D$126)+MAX(CL92-K92,0)*Worksheet!$F$50,SUM(J92)),2),SUM(CN92))-SUM(CN92))*MinAdj),2)</f>
        <v>0</v>
      </c>
      <c r="CP92" s="192">
        <f t="shared" si="93"/>
        <v>1593953.66</v>
      </c>
      <c r="CQ92" s="131">
        <f>IF(CL92=0,0,-MIN(CP92,MIN(CP92,ROUND(IF(ROUND(IF(CL92=0,0,N92/CL92),2)&lt;STVPP*0.2,STVPP*0.2*CL92*Worksheet!$F$88/1000,N92*Worksheet!$F$88/1000),2))))</f>
        <v>-574553.22</v>
      </c>
      <c r="CR92" s="193">
        <f>-MIN(SUM(CP92,CQ92),IF($P92=0,(ROUND(Worksheet!$E$77*S92,2)+ROUND(Worksheet!$E$78*T92,2)+ROUND(Worksheet!$E$79*U92,2)+ROUND(Worksheet!$E$80*V92,2)+ROUND(Worksheet!$E$81*W92,2)+ROUND(Worksheet!$E$82*X92,2)),(ROUND(ROUND(S92*ROUND((1-$O92/$P92),4),2)*Worksheet!$E$77,2)+ROUND(ROUND(T92*ROUND((1-$O92/$P92),4),2)*Worksheet!$E$78,2)+ROUND(ROUND(U92*ROUND((1-$O92/$P92),4),2)*Worksheet!$E$79,2)+ROUND(ROUND(V92*ROUND((1-$O92/$P92),4),2)*Worksheet!$E$80,2)+ROUND(ROUND(W92*ROUND((1-$O92/$P92),4),2)*Worksheet!$E$81,2)+ROUND(ROUND(X92*ROUND((1-$O92/$P92),4),2)*Worksheet!$E$82,2))))</f>
        <v>-19095.32</v>
      </c>
      <c r="CS92" s="192">
        <f t="shared" si="78"/>
        <v>1000305.12</v>
      </c>
      <c r="CT92" s="116">
        <f>ROUND(MIN(BA92,ROUND((ROUND(AS92*Worksheet!$E$104,2)+ROUND(AV92*Worksheet!$E$107,2)+ROUND(AT92*Worksheet!$E$105,2)+ROUND(AW92*Worksheet!$E$108,2)+ROUND(AU92*Worksheet!$E$106,2)+ROUND(AX92*Worksheet!$E$109,2)+ROUND(AY92*Worksheet!$E$110,2)+ROUND(AZ92*Worksheet!$E$111,2))*Worksheet!$D$114,2))*BaseRate,2)</f>
        <v>118772.93</v>
      </c>
      <c r="CU92" s="121">
        <v>0</v>
      </c>
      <c r="CV92" s="121">
        <v>0</v>
      </c>
      <c r="CW92" s="121">
        <v>0</v>
      </c>
      <c r="CX92" s="121">
        <v>0</v>
      </c>
      <c r="CY92" s="121">
        <v>0</v>
      </c>
      <c r="DA92" s="192">
        <f t="shared" si="79"/>
        <v>0</v>
      </c>
      <c r="DB92" s="192">
        <f>MAX(-CT92,MIN(0,ROUND($R92*EFBPercent+EFBAdd,2)-$Q92),MIN(0,SUM($CS92:CS92)+MIN(0,ROUND($R92*EFBPercent+EFBAdd,2)-$Q92)))</f>
        <v>0</v>
      </c>
      <c r="DC92" s="192">
        <f>IF(CU92&lt;0,0,MAX(-CU92,MIN(0,ROUND($R92*EFBPercent+EFBAdd,2)-$Q92),MIN(0,SUM($CS92:CT92)+MIN(0,ROUND($R92*EFBPercent+EFBAdd,2)-$Q92))))</f>
        <v>0</v>
      </c>
      <c r="DD92" s="192">
        <f>IF(CV92&lt;0,0,MAX(-CV92,MIN(0,ROUND($R92*EFBPercent+EFBAdd,2)-$Q92),MIN(0,SUM($CS92:CU92)+MIN(0,ROUND($R92*EFBPercent+EFBAdd,2)-$Q92))))</f>
        <v>0</v>
      </c>
      <c r="DE92" s="192">
        <f>IF(CW92&lt;0,0,MAX(-CW92,MIN(0,ROUND($R92*EFBPercent+EFBAdd,2)-$Q92),MIN(0,SUM($CS92:CV92)+MIN(0,ROUND($R92*EFBPercent+EFBAdd,2)-$Q92))))</f>
        <v>0</v>
      </c>
      <c r="DF92" s="192">
        <f>IF(CX92&lt;0,0,MAX(-CX92,MIN(0,ROUND($R92*EFBPercent+EFBAdd,2)-$Q92),MIN(0,SUM($CS92:CW92)+MIN(0,ROUND($R92*EFBPercent+EFBAdd,2)-$Q92))))</f>
        <v>0</v>
      </c>
      <c r="DG92" s="192">
        <f>MAX(-CY92,MIN(0,ROUND($R92*EFBPercent+EFBAdd,2)-$Q92),MIN(0,SUM($CS92:CX92)+MIN(0,ROUND($R92*EFBPercent+EFBAdd,2)-$Q92)))</f>
        <v>0</v>
      </c>
      <c r="DI92" s="73">
        <f t="shared" si="80"/>
        <v>1000305.12</v>
      </c>
      <c r="DJ92" s="73">
        <f t="shared" si="81"/>
        <v>118772.93</v>
      </c>
      <c r="DK92" s="73">
        <f t="shared" si="82"/>
        <v>0</v>
      </c>
      <c r="DL92" s="73">
        <f t="shared" si="83"/>
        <v>0</v>
      </c>
      <c r="DM92" s="73">
        <f t="shared" si="84"/>
        <v>0</v>
      </c>
      <c r="DN92" s="73">
        <f t="shared" si="85"/>
        <v>0</v>
      </c>
      <c r="DO92" s="73">
        <f t="shared" si="86"/>
        <v>0</v>
      </c>
      <c r="DP92" s="73"/>
      <c r="DQ92" s="73"/>
    </row>
    <row r="93" spans="1:121" ht="10.199999999999999" x14ac:dyDescent="0.2">
      <c r="A93" s="4" t="s">
        <v>566</v>
      </c>
      <c r="B93" s="188">
        <v>1158</v>
      </c>
      <c r="C93" s="189" t="s">
        <v>92</v>
      </c>
      <c r="D93" s="4">
        <v>2027</v>
      </c>
      <c r="E93" s="4" t="s">
        <v>407</v>
      </c>
      <c r="F93" s="4">
        <v>1</v>
      </c>
      <c r="G93" s="4" t="s">
        <v>660</v>
      </c>
      <c r="H93" s="4">
        <v>100</v>
      </c>
      <c r="I93" s="4" t="s">
        <v>855</v>
      </c>
      <c r="J93" s="5">
        <v>4464436.9799999995</v>
      </c>
      <c r="K93" s="5">
        <v>377.66</v>
      </c>
      <c r="L93" s="5">
        <v>1043.22</v>
      </c>
      <c r="M93" s="5">
        <v>1</v>
      </c>
      <c r="N93" s="5">
        <v>22597385</v>
      </c>
      <c r="O93" s="5">
        <v>0</v>
      </c>
      <c r="P93" s="5">
        <v>78.290000000000006</v>
      </c>
      <c r="Q93" s="5">
        <v>0</v>
      </c>
      <c r="R93" s="5">
        <v>0</v>
      </c>
      <c r="S93" s="5">
        <v>2375</v>
      </c>
      <c r="T93" s="5">
        <v>21950.690000000002</v>
      </c>
      <c r="U93" s="5">
        <v>0</v>
      </c>
      <c r="V93" s="5">
        <v>23321.49</v>
      </c>
      <c r="W93" s="5">
        <v>9666</v>
      </c>
      <c r="X93" s="5">
        <v>28476.55</v>
      </c>
      <c r="Y93" s="5">
        <v>0.28000000000000003</v>
      </c>
      <c r="Z93" s="5">
        <v>22</v>
      </c>
      <c r="AA93" s="5">
        <v>136</v>
      </c>
      <c r="AB93" s="5">
        <v>61</v>
      </c>
      <c r="AC93" s="5">
        <v>126</v>
      </c>
      <c r="AD93" s="5">
        <v>0</v>
      </c>
      <c r="AE93" s="5">
        <v>0</v>
      </c>
      <c r="AF93" s="5">
        <v>0</v>
      </c>
      <c r="AG93" s="5">
        <v>0</v>
      </c>
      <c r="AH93" s="5">
        <v>0.35499999999999998</v>
      </c>
      <c r="AI93" s="5">
        <v>0</v>
      </c>
      <c r="AJ93" s="5">
        <v>0</v>
      </c>
      <c r="AK93" s="5">
        <v>3.21</v>
      </c>
      <c r="AL93" s="5">
        <v>332.73</v>
      </c>
      <c r="AM93" s="5">
        <v>0</v>
      </c>
      <c r="AN93" s="5">
        <v>345</v>
      </c>
      <c r="AO93" s="5">
        <f t="shared" si="94"/>
        <v>0</v>
      </c>
      <c r="AP93" s="5">
        <f t="shared" si="101"/>
        <v>0</v>
      </c>
      <c r="AQ93" s="5">
        <v>1.19</v>
      </c>
      <c r="AR93" s="5">
        <v>0</v>
      </c>
      <c r="AS93" s="5">
        <v>0</v>
      </c>
      <c r="AT93" s="5">
        <v>240908</v>
      </c>
      <c r="AU93" s="5">
        <v>0</v>
      </c>
      <c r="AV93" s="5">
        <v>3446</v>
      </c>
      <c r="AW93" s="199">
        <v>1043.22</v>
      </c>
      <c r="AX93" s="199">
        <v>2</v>
      </c>
      <c r="AY93" s="199">
        <v>0</v>
      </c>
      <c r="AZ93" s="199">
        <v>0</v>
      </c>
      <c r="BA93" s="5">
        <v>443875.22</v>
      </c>
      <c r="BB93" s="13">
        <v>1336605.6599999999</v>
      </c>
      <c r="BC93" s="190">
        <f>MAX(ROUND(IF(F93&lt;4,IF(H93=0,(SUM(Y93:AD93)*Worksheet!$E$26+Y93*Worksheet!$E$27+AR93*Worksheet!$E$39)*-BaseRate,0)),2),MIN(0,-DI93))</f>
        <v>0</v>
      </c>
      <c r="BD93" s="190">
        <f>MAX(ROUND(IF(F93=4,0,IF(I93=0,0,ROUND(SUM(Y93:AD93)*Worksheet!$E$28,2)*-BaseRate)),2),MIN(0,-DI93-BC93))</f>
        <v>-8026.77</v>
      </c>
      <c r="BE93" s="130">
        <f t="shared" si="87"/>
        <v>0</v>
      </c>
      <c r="BF93" s="130">
        <f t="shared" si="88"/>
        <v>1404</v>
      </c>
      <c r="BG93" s="73"/>
      <c r="BH93" s="191">
        <f t="shared" si="89"/>
        <v>43721.36</v>
      </c>
      <c r="BI93" s="191">
        <f t="shared" si="90"/>
        <v>11821.31</v>
      </c>
      <c r="BJ93" s="232">
        <f>IFERROR(ROUND(IF(AND(BB93*1.12&lt;N93*60/1000,N93/CL93&lt;STVPP*0.2),(CL93*STVPP*0.2*Worksheet!$F$88/1000-BB93*1.12)*PropTaxAdj,IF(BB93*1.12&lt;N93*60/1000,(N93*60/1000-BB93*1.12)*PropTaxAdj,0)),2),0)</f>
        <v>0</v>
      </c>
      <c r="BK93" s="192">
        <f>ROUND(IF($F93=4,0,Y93*Worksheet!$E$16),2)</f>
        <v>0.28000000000000003</v>
      </c>
      <c r="BL93" s="192">
        <f>ROUND(IF($F93=4,0,Z93*Worksheet!$E$17),2)</f>
        <v>22</v>
      </c>
      <c r="BM93" s="192">
        <f>ROUND(IF($F93=4,0,AA93*Worksheet!$E$18),2)</f>
        <v>136</v>
      </c>
      <c r="BN93" s="192">
        <f>ROUND(IF($F93=4,0,AB93*Worksheet!$E$19),2)</f>
        <v>61</v>
      </c>
      <c r="BO93" s="192">
        <f>ROUND(IF($F93=4,0,AC93*Worksheet!$E$20),2)</f>
        <v>126</v>
      </c>
      <c r="BP93" s="192">
        <f>ROUND(AD93*Worksheet!$E$21,2)</f>
        <v>0</v>
      </c>
      <c r="BQ93" s="192">
        <f t="shared" si="76"/>
        <v>345.28</v>
      </c>
      <c r="BR93" s="192">
        <f>ROUND(AD93*Worksheet!$E$25,2)</f>
        <v>0</v>
      </c>
      <c r="BS93" s="192">
        <f>ROUND(SUM(BQ93)*Worksheet!$E$26,2)</f>
        <v>30.38</v>
      </c>
      <c r="BT93" s="192">
        <f>ROUND(Y93*Worksheet!$E$27,2)</f>
        <v>0.05</v>
      </c>
      <c r="BU93" s="192">
        <f>ROUND(AO93*Worksheet!$E$29,2)</f>
        <v>0</v>
      </c>
      <c r="BV93" s="192">
        <f>ROUND(AP93*Worksheet!$E$30,2)</f>
        <v>0</v>
      </c>
      <c r="BW93" s="192">
        <f>ROUND(IF($I93&lt;&gt;0,$BQ93*Worksheet!$E$28,0),2)</f>
        <v>0.69</v>
      </c>
      <c r="BX93" s="192">
        <f>ROUND(AE93*Worksheet!$E$31,2)</f>
        <v>0</v>
      </c>
      <c r="BY93" s="192">
        <f>ROUND(AF93*Worksheet!$E$32,2)</f>
        <v>0</v>
      </c>
      <c r="BZ93" s="192">
        <f>ROUND(AG93*Worksheet!$E$33,2)</f>
        <v>0</v>
      </c>
      <c r="CA93" s="192">
        <f>ROUND(ROUND(AH93*BQ93,2)*Worksheet!$E$34,2)</f>
        <v>3.06</v>
      </c>
      <c r="CB93" s="192">
        <f>ROUND(AI93*Worksheet!$E$35,2)</f>
        <v>0</v>
      </c>
      <c r="CC93" s="192">
        <f>ROUND(AJ93*Worksheet!$E$36,2)</f>
        <v>0</v>
      </c>
      <c r="CD93" s="192">
        <f>ROUND(AQ93*Worksheet!$E$38,2)</f>
        <v>0.71</v>
      </c>
      <c r="CE93" s="192">
        <f>ROUND(AR93*Worksheet!$E$39,2)</f>
        <v>0</v>
      </c>
      <c r="CF93" s="192">
        <f>IF(AND(L93&gt;275,SUM(Y93:AD93)&lt;100),ROUND(SUM(Y93:AD93)*Worksheet!$E$41,2),0)</f>
        <v>0</v>
      </c>
      <c r="CG93" s="192">
        <f>IF(AND(L93&gt;600,SUM(Y93:AD93)&lt;50),ROUND((50-SUM(Y93:AD93))*(Worksheet!$E$41+1),2),0)</f>
        <v>0</v>
      </c>
      <c r="CH93" s="192">
        <f t="shared" si="77"/>
        <v>380.16999999999996</v>
      </c>
      <c r="CI93" s="116">
        <f t="shared" si="95"/>
        <v>3.21</v>
      </c>
      <c r="CJ93" s="116">
        <f t="shared" si="96"/>
        <v>376.96</v>
      </c>
      <c r="CK93" s="95">
        <f t="shared" si="91"/>
        <v>1.3711</v>
      </c>
      <c r="CL93" s="116">
        <f t="shared" si="97"/>
        <v>516.85</v>
      </c>
      <c r="CM93" s="116">
        <f t="shared" si="98"/>
        <v>520.06000000000006</v>
      </c>
      <c r="CN93" s="116">
        <f t="shared" si="92"/>
        <v>6049857.9800000004</v>
      </c>
      <c r="CO93" s="131">
        <f>ROUND(IF(F93=4,0,(MAX(ROUND(MAX((BI93*MIN(CL93,K93)*Worksheet!$D$126)+MAX(CL93-K93,0)*Worksheet!$F$50,SUM(J93)),2),SUM(CN93))-SUM(CN93))*MinAdj),2)</f>
        <v>18459.59</v>
      </c>
      <c r="CP93" s="192">
        <f t="shared" si="93"/>
        <v>6068317.5700000003</v>
      </c>
      <c r="CQ93" s="131">
        <f>IF(CL93=0,0,-MIN(CP93,MIN(CP93,ROUND(IF(ROUND(IF(CL93=0,0,N93/CL93),2)&lt;STVPP*0.2,STVPP*0.2*CL93*Worksheet!$F$88/1000,N93*Worksheet!$F$88/1000),2))))</f>
        <v>-1355843.1</v>
      </c>
      <c r="CR93" s="193">
        <f>-MIN(SUM(CP93,CQ93),IF($P93=0,(ROUND(Worksheet!$E$77*S93,2)+ROUND(Worksheet!$E$78*T93,2)+ROUND(Worksheet!$E$79*U93,2)+ROUND(Worksheet!$E$80*V93,2)+ROUND(Worksheet!$E$81*W93,2)+ROUND(Worksheet!$E$82*X93,2)),(ROUND(ROUND(S93*ROUND((1-$O93/$P93),4),2)*Worksheet!$E$77,2)+ROUND(ROUND(T93*ROUND((1-$O93/$P93),4),2)*Worksheet!$E$78,2)+ROUND(ROUND(U93*ROUND((1-$O93/$P93),4),2)*Worksheet!$E$79,2)+ROUND(ROUND(V93*ROUND((1-$O93/$P93),4),2)*Worksheet!$E$80,2)+ROUND(ROUND(W93*ROUND((1-$O93/$P93),4),2)*Worksheet!$E$81,2)+ROUND(ROUND(X93*ROUND((1-$O93/$P93),4),2)*Worksheet!$E$82,2))))</f>
        <v>-64342.3</v>
      </c>
      <c r="CS93" s="192">
        <f t="shared" si="78"/>
        <v>4648132.1700000009</v>
      </c>
      <c r="CT93" s="116">
        <f>ROUND(MIN(BA93,ROUND((ROUND(AS93*Worksheet!$E$104,2)+ROUND(AV93*Worksheet!$E$107,2)+ROUND(AT93*Worksheet!$E$105,2)+ROUND(AW93*Worksheet!$E$108,2)+ROUND(AU93*Worksheet!$E$106,2)+ROUND(AX93*Worksheet!$E$109,2)+ROUND(AY93*Worksheet!$E$110,2)+ROUND(AZ93*Worksheet!$E$111,2))*Worksheet!$D$114,2))*BaseRate,2)</f>
        <v>334448.75</v>
      </c>
      <c r="CU93" s="121">
        <v>0</v>
      </c>
      <c r="CV93" s="121">
        <v>0</v>
      </c>
      <c r="CW93" s="121">
        <v>0</v>
      </c>
      <c r="CX93" s="121">
        <v>0</v>
      </c>
      <c r="CY93" s="121">
        <v>0</v>
      </c>
      <c r="DA93" s="192">
        <f t="shared" si="79"/>
        <v>0</v>
      </c>
      <c r="DB93" s="192">
        <f>MAX(-CT93,MIN(0,ROUND($R93*EFBPercent+EFBAdd,2)-$Q93),MIN(0,SUM($CS93:CS93)+MIN(0,ROUND($R93*EFBPercent+EFBAdd,2)-$Q93)))</f>
        <v>0</v>
      </c>
      <c r="DC93" s="192">
        <f>IF(CU93&lt;0,0,MAX(-CU93,MIN(0,ROUND($R93*EFBPercent+EFBAdd,2)-$Q93),MIN(0,SUM($CS93:CT93)+MIN(0,ROUND($R93*EFBPercent+EFBAdd,2)-$Q93))))</f>
        <v>0</v>
      </c>
      <c r="DD93" s="192">
        <f>IF(CV93&lt;0,0,MAX(-CV93,MIN(0,ROUND($R93*EFBPercent+EFBAdd,2)-$Q93),MIN(0,SUM($CS93:CU93)+MIN(0,ROUND($R93*EFBPercent+EFBAdd,2)-$Q93))))</f>
        <v>0</v>
      </c>
      <c r="DE93" s="192">
        <f>IF(CW93&lt;0,0,MAX(-CW93,MIN(0,ROUND($R93*EFBPercent+EFBAdd,2)-$Q93),MIN(0,SUM($CS93:CV93)+MIN(0,ROUND($R93*EFBPercent+EFBAdd,2)-$Q93))))</f>
        <v>0</v>
      </c>
      <c r="DF93" s="192">
        <f>IF(CX93&lt;0,0,MAX(-CX93,MIN(0,ROUND($R93*EFBPercent+EFBAdd,2)-$Q93),MIN(0,SUM($CS93:CW93)+MIN(0,ROUND($R93*EFBPercent+EFBAdd,2)-$Q93))))</f>
        <v>0</v>
      </c>
      <c r="DG93" s="192">
        <f>MAX(-CY93,MIN(0,ROUND($R93*EFBPercent+EFBAdd,2)-$Q93),MIN(0,SUM($CS93:CX93)+MIN(0,ROUND($R93*EFBPercent+EFBAdd,2)-$Q93)))</f>
        <v>0</v>
      </c>
      <c r="DI93" s="73">
        <f t="shared" si="80"/>
        <v>4648132.1700000009</v>
      </c>
      <c r="DJ93" s="73">
        <f t="shared" si="81"/>
        <v>334448.75</v>
      </c>
      <c r="DK93" s="73">
        <f t="shared" si="82"/>
        <v>0</v>
      </c>
      <c r="DL93" s="73">
        <f t="shared" si="83"/>
        <v>0</v>
      </c>
      <c r="DM93" s="73">
        <f t="shared" si="84"/>
        <v>0</v>
      </c>
      <c r="DN93" s="73">
        <f t="shared" si="85"/>
        <v>0</v>
      </c>
      <c r="DO93" s="73">
        <f t="shared" si="86"/>
        <v>0</v>
      </c>
      <c r="DP93" s="73"/>
      <c r="DQ93" s="73"/>
    </row>
    <row r="94" spans="1:121" ht="10.199999999999999" x14ac:dyDescent="0.2">
      <c r="A94" s="4" t="s">
        <v>567</v>
      </c>
      <c r="B94" s="188">
        <v>1180</v>
      </c>
      <c r="C94" s="189" t="s">
        <v>93</v>
      </c>
      <c r="D94" s="4">
        <v>2027</v>
      </c>
      <c r="E94" s="4" t="s">
        <v>408</v>
      </c>
      <c r="F94" s="4">
        <v>1</v>
      </c>
      <c r="G94" s="4" t="s">
        <v>670</v>
      </c>
      <c r="H94" s="4">
        <v>100</v>
      </c>
      <c r="I94" s="4" t="s">
        <v>1091</v>
      </c>
      <c r="J94" s="5">
        <v>748447.69</v>
      </c>
      <c r="K94" s="5">
        <v>44.34</v>
      </c>
      <c r="L94" s="5">
        <v>155.80000000000001</v>
      </c>
      <c r="M94" s="5">
        <v>0</v>
      </c>
      <c r="N94" s="5">
        <v>6028603</v>
      </c>
      <c r="O94" s="5">
        <v>0</v>
      </c>
      <c r="P94" s="5">
        <v>93.35</v>
      </c>
      <c r="Q94" s="5">
        <v>0</v>
      </c>
      <c r="R94" s="5">
        <v>0</v>
      </c>
      <c r="S94" s="5">
        <v>0</v>
      </c>
      <c r="T94" s="5">
        <v>0</v>
      </c>
      <c r="U94" s="5">
        <v>0</v>
      </c>
      <c r="V94" s="5">
        <v>11821.22</v>
      </c>
      <c r="W94" s="5">
        <v>0</v>
      </c>
      <c r="X94" s="5">
        <v>5050.4000000000005</v>
      </c>
      <c r="Y94" s="5">
        <v>0.15</v>
      </c>
      <c r="Z94" s="5">
        <v>0</v>
      </c>
      <c r="AA94" s="5">
        <v>9</v>
      </c>
      <c r="AB94" s="5">
        <v>1</v>
      </c>
      <c r="AC94" s="5">
        <v>8</v>
      </c>
      <c r="AD94" s="5">
        <v>0</v>
      </c>
      <c r="AE94" s="5">
        <v>0</v>
      </c>
      <c r="AF94" s="5">
        <v>0</v>
      </c>
      <c r="AG94" s="5">
        <v>2</v>
      </c>
      <c r="AH94" s="5">
        <v>0.71399999999999997</v>
      </c>
      <c r="AI94" s="5">
        <v>0</v>
      </c>
      <c r="AJ94" s="5">
        <v>0</v>
      </c>
      <c r="AK94" s="5">
        <v>0</v>
      </c>
      <c r="AL94" s="5">
        <v>17.23</v>
      </c>
      <c r="AM94" s="5">
        <v>0</v>
      </c>
      <c r="AN94" s="5">
        <v>18</v>
      </c>
      <c r="AO94" s="5">
        <f t="shared" si="94"/>
        <v>0</v>
      </c>
      <c r="AP94" s="5">
        <f t="shared" si="101"/>
        <v>0</v>
      </c>
      <c r="AQ94" s="5">
        <v>0</v>
      </c>
      <c r="AR94" s="5">
        <v>0.02</v>
      </c>
      <c r="AS94" s="5">
        <v>0</v>
      </c>
      <c r="AT94" s="5">
        <v>24912</v>
      </c>
      <c r="AU94" s="5">
        <v>0</v>
      </c>
      <c r="AV94" s="5">
        <v>692</v>
      </c>
      <c r="AW94" s="199">
        <v>155.80000000000001</v>
      </c>
      <c r="AX94" s="199">
        <v>1</v>
      </c>
      <c r="AY94" s="199">
        <v>0</v>
      </c>
      <c r="AZ94" s="199">
        <v>0</v>
      </c>
      <c r="BA94" s="5">
        <v>59598.87</v>
      </c>
      <c r="BB94" s="13">
        <v>331921.86</v>
      </c>
      <c r="BC94" s="190">
        <f>MAX(ROUND(IF(F94&lt;4,IF(H94=0,(SUM(Y94:AD94)*Worksheet!$E$26+Y94*Worksheet!$E$27+AR94*Worksheet!$E$39)*-BaseRate,0)),2),MIN(0,-DI94))</f>
        <v>0</v>
      </c>
      <c r="BD94" s="190">
        <f>MAX(ROUND(IF(F94=4,0,IF(I94=0,0,ROUND(SUM(Y94:AD94)*Worksheet!$E$28,2)*-BaseRate)),2),MIN(0,-DI94-BC94))</f>
        <v>-465.32</v>
      </c>
      <c r="BE94" s="130">
        <f t="shared" si="87"/>
        <v>0</v>
      </c>
      <c r="BF94" s="130">
        <f t="shared" si="88"/>
        <v>1403</v>
      </c>
      <c r="BG94" s="73"/>
      <c r="BH94" s="191">
        <f t="shared" si="89"/>
        <v>177834.9</v>
      </c>
      <c r="BI94" s="191">
        <f t="shared" si="90"/>
        <v>16879.740000000002</v>
      </c>
      <c r="BJ94" s="232">
        <f>IFERROR(ROUND(IF(AND(BB94*1.12&lt;N94*60/1000,N94/CL94&lt;STVPP*0.2),(CL94*STVPP*0.2*Worksheet!$F$88/1000-BB94*1.12)*PropTaxAdj,IF(BB94*1.12&lt;N94*60/1000,(N94*60/1000-BB94*1.12)*PropTaxAdj,0)),2),0)</f>
        <v>0</v>
      </c>
      <c r="BK94" s="192">
        <f>ROUND(IF($F94=4,0,Y94*Worksheet!$E$16),2)</f>
        <v>0.15</v>
      </c>
      <c r="BL94" s="192">
        <f>ROUND(IF($F94=4,0,Z94*Worksheet!$E$17),2)</f>
        <v>0</v>
      </c>
      <c r="BM94" s="192">
        <f>ROUND(IF($F94=4,0,AA94*Worksheet!$E$18),2)</f>
        <v>9</v>
      </c>
      <c r="BN94" s="192">
        <f>ROUND(IF($F94=4,0,AB94*Worksheet!$E$19),2)</f>
        <v>1</v>
      </c>
      <c r="BO94" s="192">
        <f>ROUND(IF($F94=4,0,AC94*Worksheet!$E$20),2)</f>
        <v>8</v>
      </c>
      <c r="BP94" s="192">
        <f>ROUND(AD94*Worksheet!$E$21,2)</f>
        <v>0</v>
      </c>
      <c r="BQ94" s="192">
        <f t="shared" si="76"/>
        <v>18.149999999999999</v>
      </c>
      <c r="BR94" s="192">
        <f>ROUND(AD94*Worksheet!$E$25,2)</f>
        <v>0</v>
      </c>
      <c r="BS94" s="192">
        <f>ROUND(SUM(BQ94)*Worksheet!$E$26,2)</f>
        <v>1.6</v>
      </c>
      <c r="BT94" s="192">
        <f>ROUND(Y94*Worksheet!$E$27,2)</f>
        <v>0.03</v>
      </c>
      <c r="BU94" s="192">
        <f>ROUND(AO94*Worksheet!$E$29,2)</f>
        <v>0</v>
      </c>
      <c r="BV94" s="192">
        <f>ROUND(AP94*Worksheet!$E$30,2)</f>
        <v>0</v>
      </c>
      <c r="BW94" s="192">
        <f>ROUND(IF($I94&lt;&gt;0,$BQ94*Worksheet!$E$28,0),2)</f>
        <v>0.04</v>
      </c>
      <c r="BX94" s="192">
        <f>ROUND(AE94*Worksheet!$E$31,2)</f>
        <v>0</v>
      </c>
      <c r="BY94" s="192">
        <f>ROUND(AF94*Worksheet!$E$32,2)</f>
        <v>0</v>
      </c>
      <c r="BZ94" s="192">
        <f>ROUND(AG94*Worksheet!$E$33,2)</f>
        <v>0.14000000000000001</v>
      </c>
      <c r="CA94" s="192">
        <f>ROUND(ROUND(AH94*BQ94,2)*Worksheet!$E$34,2)</f>
        <v>0.32</v>
      </c>
      <c r="CB94" s="192">
        <f>ROUND(AI94*Worksheet!$E$35,2)</f>
        <v>0</v>
      </c>
      <c r="CC94" s="192">
        <f>ROUND(AJ94*Worksheet!$E$36,2)</f>
        <v>0</v>
      </c>
      <c r="CD94" s="192">
        <f>ROUND(AQ94*Worksheet!$E$38,2)</f>
        <v>0</v>
      </c>
      <c r="CE94" s="192">
        <f>ROUND(AR94*Worksheet!$E$39,2)</f>
        <v>0.02</v>
      </c>
      <c r="CF94" s="192">
        <f>IF(AND(L94&gt;275,SUM(Y94:AD94)&lt;100),ROUND(SUM(Y94:AD94)*Worksheet!$E$41,2),0)</f>
        <v>0</v>
      </c>
      <c r="CG94" s="192">
        <f>IF(AND(L94&gt;600,SUM(Y94:AD94)&lt;50),ROUND((50-SUM(Y94:AD94))*(Worksheet!$E$41+1),2),0)</f>
        <v>0</v>
      </c>
      <c r="CH94" s="192">
        <f t="shared" si="77"/>
        <v>20.3</v>
      </c>
      <c r="CI94" s="116">
        <f t="shared" si="95"/>
        <v>0</v>
      </c>
      <c r="CJ94" s="116">
        <f t="shared" si="96"/>
        <v>20.3</v>
      </c>
      <c r="CK94" s="95">
        <f t="shared" si="91"/>
        <v>1.67</v>
      </c>
      <c r="CL94" s="116">
        <f t="shared" si="97"/>
        <v>33.9</v>
      </c>
      <c r="CM94" s="116">
        <f t="shared" si="98"/>
        <v>33.9</v>
      </c>
      <c r="CN94" s="116">
        <f t="shared" si="92"/>
        <v>394358.7</v>
      </c>
      <c r="CO94" s="131">
        <f>ROUND(IF(F94=4,0,(MAX(ROUND(MAX((BI94*MIN(CL94,K94)*Worksheet!$D$126)+MAX(CL94-K94,0)*Worksheet!$F$50,SUM(J94)),2),SUM(CN94))-SUM(CN94))*MinAdj),2)</f>
        <v>53113.35</v>
      </c>
      <c r="CP94" s="192">
        <f t="shared" si="93"/>
        <v>447472.05</v>
      </c>
      <c r="CQ94" s="131">
        <f>IF(CL94=0,0,-MIN(CP94,MIN(CP94,ROUND(IF(ROUND(IF(CL94=0,0,N94/CL94),2)&lt;STVPP*0.2,STVPP*0.2*CL94*Worksheet!$F$88/1000,N94*Worksheet!$F$88/1000),2))))</f>
        <v>-361716.18</v>
      </c>
      <c r="CR94" s="193">
        <f>-MIN(SUM(CP94,CQ94),IF($P94=0,(ROUND(Worksheet!$E$77*S94,2)+ROUND(Worksheet!$E$78*T94,2)+ROUND(Worksheet!$E$79*U94,2)+ROUND(Worksheet!$E$80*V94,2)+ROUND(Worksheet!$E$81*W94,2)+ROUND(Worksheet!$E$82*X94,2)),(ROUND(ROUND(S94*ROUND((1-$O94/$P94),4),2)*Worksheet!$E$77,2)+ROUND(ROUND(T94*ROUND((1-$O94/$P94),4),2)*Worksheet!$E$78,2)+ROUND(ROUND(U94*ROUND((1-$O94/$P94),4),2)*Worksheet!$E$79,2)+ROUND(ROUND(V94*ROUND((1-$O94/$P94),4),2)*Worksheet!$E$80,2)+ROUND(ROUND(W94*ROUND((1-$O94/$P94),4),2)*Worksheet!$E$81,2)+ROUND(ROUND(X94*ROUND((1-$O94/$P94),4),2)*Worksheet!$E$82,2))))</f>
        <v>-12653.720000000001</v>
      </c>
      <c r="CS94" s="192">
        <f t="shared" si="78"/>
        <v>73102.149999999994</v>
      </c>
      <c r="CT94" s="116">
        <f>ROUND(MIN(BA94,ROUND((ROUND(AS94*Worksheet!$E$104,2)+ROUND(AV94*Worksheet!$E$107,2)+ROUND(AT94*Worksheet!$E$105,2)+ROUND(AW94*Worksheet!$E$108,2)+ROUND(AU94*Worksheet!$E$106,2)+ROUND(AX94*Worksheet!$E$109,2)+ROUND(AY94*Worksheet!$E$110,2)+ROUND(AZ94*Worksheet!$E$111,2))*Worksheet!$D$114,2))*BaseRate,2)</f>
        <v>40482.839999999997</v>
      </c>
      <c r="CU94" s="121">
        <v>0</v>
      </c>
      <c r="CV94" s="121">
        <v>0</v>
      </c>
      <c r="CW94" s="121">
        <v>0</v>
      </c>
      <c r="CX94" s="121">
        <v>0</v>
      </c>
      <c r="CY94" s="121">
        <v>0</v>
      </c>
      <c r="DA94" s="192">
        <f t="shared" si="79"/>
        <v>0</v>
      </c>
      <c r="DB94" s="192">
        <f>MAX(-CT94,MIN(0,ROUND($R94*EFBPercent+EFBAdd,2)-$Q94),MIN(0,SUM($CS94:CS94)+MIN(0,ROUND($R94*EFBPercent+EFBAdd,2)-$Q94)))</f>
        <v>0</v>
      </c>
      <c r="DC94" s="192">
        <f>IF(CU94&lt;0,0,MAX(-CU94,MIN(0,ROUND($R94*EFBPercent+EFBAdd,2)-$Q94),MIN(0,SUM($CS94:CT94)+MIN(0,ROUND($R94*EFBPercent+EFBAdd,2)-$Q94))))</f>
        <v>0</v>
      </c>
      <c r="DD94" s="192">
        <f>IF(CV94&lt;0,0,MAX(-CV94,MIN(0,ROUND($R94*EFBPercent+EFBAdd,2)-$Q94),MIN(0,SUM($CS94:CU94)+MIN(0,ROUND($R94*EFBPercent+EFBAdd,2)-$Q94))))</f>
        <v>0</v>
      </c>
      <c r="DE94" s="192">
        <f>IF(CW94&lt;0,0,MAX(-CW94,MIN(0,ROUND($R94*EFBPercent+EFBAdd,2)-$Q94),MIN(0,SUM($CS94:CV94)+MIN(0,ROUND($R94*EFBPercent+EFBAdd,2)-$Q94))))</f>
        <v>0</v>
      </c>
      <c r="DF94" s="192">
        <f>IF(CX94&lt;0,0,MAX(-CX94,MIN(0,ROUND($R94*EFBPercent+EFBAdd,2)-$Q94),MIN(0,SUM($CS94:CW94)+MIN(0,ROUND($R94*EFBPercent+EFBAdd,2)-$Q94))))</f>
        <v>0</v>
      </c>
      <c r="DG94" s="192">
        <f>MAX(-CY94,MIN(0,ROUND($R94*EFBPercent+EFBAdd,2)-$Q94),MIN(0,SUM($CS94:CX94)+MIN(0,ROUND($R94*EFBPercent+EFBAdd,2)-$Q94)))</f>
        <v>0</v>
      </c>
      <c r="DI94" s="73">
        <f t="shared" si="80"/>
        <v>73102.149999999994</v>
      </c>
      <c r="DJ94" s="73">
        <f t="shared" si="81"/>
        <v>40482.839999999997</v>
      </c>
      <c r="DK94" s="73">
        <f t="shared" si="82"/>
        <v>0</v>
      </c>
      <c r="DL94" s="73">
        <f t="shared" si="83"/>
        <v>0</v>
      </c>
      <c r="DM94" s="73">
        <f t="shared" si="84"/>
        <v>0</v>
      </c>
      <c r="DN94" s="73">
        <f t="shared" si="85"/>
        <v>0</v>
      </c>
      <c r="DO94" s="73">
        <f t="shared" si="86"/>
        <v>0</v>
      </c>
      <c r="DP94" s="73"/>
      <c r="DQ94" s="73"/>
    </row>
    <row r="95" spans="1:121" ht="10.199999999999999" x14ac:dyDescent="0.2">
      <c r="A95" s="4" t="s">
        <v>568</v>
      </c>
      <c r="B95" s="188">
        <v>1004</v>
      </c>
      <c r="C95" s="189" t="s">
        <v>94</v>
      </c>
      <c r="D95" s="4">
        <v>2027</v>
      </c>
      <c r="E95" s="4" t="s">
        <v>409</v>
      </c>
      <c r="F95" s="4">
        <v>1</v>
      </c>
      <c r="G95" s="4" t="s">
        <v>670</v>
      </c>
      <c r="H95" s="4">
        <v>100</v>
      </c>
      <c r="I95" s="4" t="s">
        <v>1091</v>
      </c>
      <c r="J95" s="5">
        <v>2011825.19</v>
      </c>
      <c r="K95" s="5">
        <v>200.59</v>
      </c>
      <c r="L95" s="5">
        <v>476.5</v>
      </c>
      <c r="M95" s="5">
        <v>0</v>
      </c>
      <c r="N95" s="5">
        <v>9879550</v>
      </c>
      <c r="O95" s="5">
        <v>33.56</v>
      </c>
      <c r="P95" s="5">
        <v>104.80000000000001</v>
      </c>
      <c r="Q95" s="5">
        <v>0</v>
      </c>
      <c r="R95" s="5">
        <v>0</v>
      </c>
      <c r="S95" s="5">
        <v>0</v>
      </c>
      <c r="T95" s="5">
        <v>0</v>
      </c>
      <c r="U95" s="5">
        <v>0</v>
      </c>
      <c r="V95" s="5">
        <v>161265.42000000001</v>
      </c>
      <c r="W95" s="5">
        <v>13446.31</v>
      </c>
      <c r="X95" s="5">
        <v>8893.9600000000009</v>
      </c>
      <c r="Y95" s="5">
        <v>1.1399999999999999</v>
      </c>
      <c r="Z95" s="5">
        <v>10</v>
      </c>
      <c r="AA95" s="5">
        <v>58</v>
      </c>
      <c r="AB95" s="5">
        <v>22</v>
      </c>
      <c r="AC95" s="5">
        <v>34</v>
      </c>
      <c r="AD95" s="5">
        <v>0</v>
      </c>
      <c r="AE95" s="5">
        <v>0.72</v>
      </c>
      <c r="AF95" s="5">
        <v>0</v>
      </c>
      <c r="AG95" s="5">
        <v>0</v>
      </c>
      <c r="AH95" s="5">
        <v>0.36799999999999999</v>
      </c>
      <c r="AI95" s="5">
        <v>0</v>
      </c>
      <c r="AJ95" s="5">
        <v>0</v>
      </c>
      <c r="AK95" s="5">
        <v>0</v>
      </c>
      <c r="AL95" s="5">
        <v>123.25</v>
      </c>
      <c r="AM95" s="5">
        <v>10.920000000000002</v>
      </c>
      <c r="AN95" s="5">
        <v>124</v>
      </c>
      <c r="AO95" s="5">
        <f t="shared" si="94"/>
        <v>0</v>
      </c>
      <c r="AP95" s="5">
        <f t="shared" si="101"/>
        <v>0</v>
      </c>
      <c r="AQ95" s="5">
        <v>0.44</v>
      </c>
      <c r="AR95" s="5">
        <v>0.16</v>
      </c>
      <c r="AS95" s="5">
        <v>0</v>
      </c>
      <c r="AT95" s="5">
        <v>65083.199999999997</v>
      </c>
      <c r="AU95" s="5">
        <v>0</v>
      </c>
      <c r="AV95" s="5">
        <v>1344</v>
      </c>
      <c r="AW95" s="199">
        <v>476.5</v>
      </c>
      <c r="AX95" s="199">
        <v>1</v>
      </c>
      <c r="AY95" s="199">
        <v>0</v>
      </c>
      <c r="AZ95" s="199">
        <v>0</v>
      </c>
      <c r="BA95" s="5">
        <v>150937.76999999999</v>
      </c>
      <c r="BB95" s="13">
        <v>598035.48</v>
      </c>
      <c r="BC95" s="190">
        <f>MAX(ROUND(IF(F95&lt;4,IF(H95=0,(SUM(Y95:AD95)*Worksheet!$E$26+Y95*Worksheet!$E$27+AR95*Worksheet!$E$39)*-BaseRate,0)),2),MIN(0,-DI95))</f>
        <v>0</v>
      </c>
      <c r="BD95" s="190">
        <f>MAX(ROUND(IF(F95=4,0,IF(I95=0,0,ROUND(SUM(Y95:AD95)*Worksheet!$E$28,2)*-BaseRate)),2),MIN(0,-DI95-BC95))</f>
        <v>-2908.25</v>
      </c>
      <c r="BE95" s="130">
        <f t="shared" si="87"/>
        <v>0</v>
      </c>
      <c r="BF95" s="130">
        <f t="shared" si="88"/>
        <v>1403</v>
      </c>
      <c r="BG95" s="73"/>
      <c r="BH95" s="191">
        <f t="shared" si="89"/>
        <v>43831.19</v>
      </c>
      <c r="BI95" s="191">
        <f t="shared" si="90"/>
        <v>10029.540000000001</v>
      </c>
      <c r="BJ95" s="232">
        <f>IFERROR(ROUND(IF(AND(BB95*1.12&lt;N95*60/1000,N95/CL95&lt;STVPP*0.2),(CL95*STVPP*0.2*Worksheet!$F$88/1000-BB95*1.12)*PropTaxAdj,IF(BB95*1.12&lt;N95*60/1000,(N95*60/1000-BB95*1.12)*PropTaxAdj,0)),2),0)</f>
        <v>0</v>
      </c>
      <c r="BK95" s="192">
        <f>ROUND(IF($F95=4,0,Y95*Worksheet!$E$16),2)</f>
        <v>1.1399999999999999</v>
      </c>
      <c r="BL95" s="192">
        <f>ROUND(IF($F95=4,0,Z95*Worksheet!$E$17),2)</f>
        <v>10</v>
      </c>
      <c r="BM95" s="192">
        <f>ROUND(IF($F95=4,0,AA95*Worksheet!$E$18),2)</f>
        <v>58</v>
      </c>
      <c r="BN95" s="192">
        <f>ROUND(IF($F95=4,0,AB95*Worksheet!$E$19),2)</f>
        <v>22</v>
      </c>
      <c r="BO95" s="192">
        <f>ROUND(IF($F95=4,0,AC95*Worksheet!$E$20),2)</f>
        <v>34</v>
      </c>
      <c r="BP95" s="192">
        <f>ROUND(AD95*Worksheet!$E$21,2)</f>
        <v>0</v>
      </c>
      <c r="BQ95" s="192">
        <f t="shared" si="76"/>
        <v>125.14</v>
      </c>
      <c r="BR95" s="192">
        <f>ROUND(AD95*Worksheet!$E$25,2)</f>
        <v>0</v>
      </c>
      <c r="BS95" s="192">
        <f>ROUND(SUM(BQ95)*Worksheet!$E$26,2)</f>
        <v>11.01</v>
      </c>
      <c r="BT95" s="192">
        <f>ROUND(Y95*Worksheet!$E$27,2)</f>
        <v>0.19</v>
      </c>
      <c r="BU95" s="192">
        <f>ROUND(AO95*Worksheet!$E$29,2)</f>
        <v>0</v>
      </c>
      <c r="BV95" s="192">
        <f>ROUND(AP95*Worksheet!$E$30,2)</f>
        <v>0</v>
      </c>
      <c r="BW95" s="192">
        <f>ROUND(IF($I95&lt;&gt;0,$BQ95*Worksheet!$E$28,0),2)</f>
        <v>0.25</v>
      </c>
      <c r="BX95" s="192">
        <f>ROUND(AE95*Worksheet!$E$31,2)</f>
        <v>0.28999999999999998</v>
      </c>
      <c r="BY95" s="192">
        <f>ROUND(AF95*Worksheet!$E$32,2)</f>
        <v>0</v>
      </c>
      <c r="BZ95" s="192">
        <f>ROUND(AG95*Worksheet!$E$33,2)</f>
        <v>0</v>
      </c>
      <c r="CA95" s="192">
        <f>ROUND(ROUND(AH95*BQ95,2)*Worksheet!$E$34,2)</f>
        <v>1.1499999999999999</v>
      </c>
      <c r="CB95" s="192">
        <f>ROUND(AI95*Worksheet!$E$35,2)</f>
        <v>0</v>
      </c>
      <c r="CC95" s="192">
        <f>ROUND(AJ95*Worksheet!$E$36,2)</f>
        <v>0</v>
      </c>
      <c r="CD95" s="192">
        <f>ROUND(AQ95*Worksheet!$E$38,2)</f>
        <v>0.26</v>
      </c>
      <c r="CE95" s="192">
        <f>ROUND(AR95*Worksheet!$E$39,2)</f>
        <v>0.16</v>
      </c>
      <c r="CF95" s="192">
        <f>IF(AND(L95&gt;275,SUM(Y95:AD95)&lt;100),ROUND(SUM(Y95:AD95)*Worksheet!$E$41,2),0)</f>
        <v>0</v>
      </c>
      <c r="CG95" s="192">
        <f>IF(AND(L95&gt;600,SUM(Y95:AD95)&lt;50),ROUND((50-SUM(Y95:AD95))*(Worksheet!$E$41+1),2),0)</f>
        <v>0</v>
      </c>
      <c r="CH95" s="192">
        <f t="shared" si="77"/>
        <v>138.44999999999999</v>
      </c>
      <c r="CI95" s="116">
        <f t="shared" si="95"/>
        <v>0</v>
      </c>
      <c r="CJ95" s="116">
        <f t="shared" si="96"/>
        <v>138.44999999999999</v>
      </c>
      <c r="CK95" s="95">
        <f t="shared" si="91"/>
        <v>1.6279999999999999</v>
      </c>
      <c r="CL95" s="116">
        <f t="shared" si="97"/>
        <v>225.4</v>
      </c>
      <c r="CM95" s="116">
        <f t="shared" si="98"/>
        <v>225.4</v>
      </c>
      <c r="CN95" s="116">
        <f t="shared" si="92"/>
        <v>2622078.2000000002</v>
      </c>
      <c r="CO95" s="131">
        <f>ROUND(IF(F95=4,0,(MAX(ROUND(MAX((BI95*MIN(CL95,K95)*Worksheet!$D$126)+MAX(CL95-K95,0)*Worksheet!$F$50,SUM(J95)),2),SUM(CN95))-SUM(CN95))*MinAdj),2)</f>
        <v>0</v>
      </c>
      <c r="CP95" s="192">
        <f t="shared" si="93"/>
        <v>2622078.2000000002</v>
      </c>
      <c r="CQ95" s="131">
        <f>IF(CL95=0,0,-MIN(CP95,MIN(CP95,ROUND(IF(ROUND(IF(CL95=0,0,N95/CL95),2)&lt;STVPP*0.2,STVPP*0.2*CL95*Worksheet!$F$88/1000,N95*Worksheet!$F$88/1000),2))))</f>
        <v>-592773</v>
      </c>
      <c r="CR95" s="193">
        <f>-MIN(SUM(CP95,CQ95),IF($P95=0,(ROUND(Worksheet!$E$77*S95,2)+ROUND(Worksheet!$E$78*T95,2)+ROUND(Worksheet!$E$79*U95,2)+ROUND(Worksheet!$E$80*V95,2)+ROUND(Worksheet!$E$81*W95,2)+ROUND(Worksheet!$E$82*X95,2)),(ROUND(ROUND(S95*ROUND((1-$O95/$P95),4),2)*Worksheet!$E$77,2)+ROUND(ROUND(T95*ROUND((1-$O95/$P95),4),2)*Worksheet!$E$78,2)+ROUND(ROUND(U95*ROUND((1-$O95/$P95),4),2)*Worksheet!$E$79,2)+ROUND(ROUND(V95*ROUND((1-$O95/$P95),4),2)*Worksheet!$E$80,2)+ROUND(ROUND(W95*ROUND((1-$O95/$P95),4),2)*Worksheet!$E$81,2)+ROUND(ROUND(X95*ROUND((1-$O95/$P95),4),2)*Worksheet!$E$82,2))))</f>
        <v>-93611.35</v>
      </c>
      <c r="CS95" s="192">
        <f t="shared" si="78"/>
        <v>1935693.85</v>
      </c>
      <c r="CT95" s="116">
        <f>ROUND(MIN(BA95,ROUND((ROUND(AS95*Worksheet!$E$104,2)+ROUND(AV95*Worksheet!$E$107,2)+ROUND(AT95*Worksheet!$E$105,2)+ROUND(AW95*Worksheet!$E$108,2)+ROUND(AU95*Worksheet!$E$106,2)+ROUND(AX95*Worksheet!$E$109,2)+ROUND(AY95*Worksheet!$E$110,2)+ROUND(AZ95*Worksheet!$E$111,2))*Worksheet!$D$114,2))*BaseRate,2)</f>
        <v>98182.52</v>
      </c>
      <c r="CU95" s="121">
        <v>0</v>
      </c>
      <c r="CV95" s="121">
        <v>0</v>
      </c>
      <c r="CW95" s="121">
        <v>0</v>
      </c>
      <c r="CX95" s="121">
        <v>0</v>
      </c>
      <c r="CY95" s="121">
        <v>0</v>
      </c>
      <c r="DA95" s="192">
        <f t="shared" si="79"/>
        <v>0</v>
      </c>
      <c r="DB95" s="192">
        <f>MAX(-CT95,MIN(0,ROUND($R95*EFBPercent+EFBAdd,2)-$Q95),MIN(0,SUM($CS95:CS95)+MIN(0,ROUND($R95*EFBPercent+EFBAdd,2)-$Q95)))</f>
        <v>0</v>
      </c>
      <c r="DC95" s="192">
        <f>IF(CU95&lt;0,0,MAX(-CU95,MIN(0,ROUND($R95*EFBPercent+EFBAdd,2)-$Q95),MIN(0,SUM($CS95:CT95)+MIN(0,ROUND($R95*EFBPercent+EFBAdd,2)-$Q95))))</f>
        <v>0</v>
      </c>
      <c r="DD95" s="192">
        <f>IF(CV95&lt;0,0,MAX(-CV95,MIN(0,ROUND($R95*EFBPercent+EFBAdd,2)-$Q95),MIN(0,SUM($CS95:CU95)+MIN(0,ROUND($R95*EFBPercent+EFBAdd,2)-$Q95))))</f>
        <v>0</v>
      </c>
      <c r="DE95" s="192">
        <f>IF(CW95&lt;0,0,MAX(-CW95,MIN(0,ROUND($R95*EFBPercent+EFBAdd,2)-$Q95),MIN(0,SUM($CS95:CV95)+MIN(0,ROUND($R95*EFBPercent+EFBAdd,2)-$Q95))))</f>
        <v>0</v>
      </c>
      <c r="DF95" s="192">
        <f>IF(CX95&lt;0,0,MAX(-CX95,MIN(0,ROUND($R95*EFBPercent+EFBAdd,2)-$Q95),MIN(0,SUM($CS95:CW95)+MIN(0,ROUND($R95*EFBPercent+EFBAdd,2)-$Q95))))</f>
        <v>0</v>
      </c>
      <c r="DG95" s="192">
        <f>MAX(-CY95,MIN(0,ROUND($R95*EFBPercent+EFBAdd,2)-$Q95),MIN(0,SUM($CS95:CX95)+MIN(0,ROUND($R95*EFBPercent+EFBAdd,2)-$Q95)))</f>
        <v>0</v>
      </c>
      <c r="DI95" s="73">
        <f t="shared" si="80"/>
        <v>1935693.85</v>
      </c>
      <c r="DJ95" s="73">
        <f t="shared" si="81"/>
        <v>98182.52</v>
      </c>
      <c r="DK95" s="73">
        <f t="shared" si="82"/>
        <v>0</v>
      </c>
      <c r="DL95" s="73">
        <f t="shared" si="83"/>
        <v>0</v>
      </c>
      <c r="DM95" s="73">
        <f t="shared" si="84"/>
        <v>0</v>
      </c>
      <c r="DN95" s="73">
        <f t="shared" si="85"/>
        <v>0</v>
      </c>
      <c r="DO95" s="73">
        <f t="shared" si="86"/>
        <v>0</v>
      </c>
      <c r="DP95" s="73"/>
      <c r="DQ95" s="73"/>
    </row>
    <row r="96" spans="1:121" ht="10.199999999999999" x14ac:dyDescent="0.2">
      <c r="A96" s="4" t="s">
        <v>569</v>
      </c>
      <c r="B96" s="188">
        <v>1176</v>
      </c>
      <c r="C96" s="189" t="s">
        <v>95</v>
      </c>
      <c r="D96" s="4">
        <v>2027</v>
      </c>
      <c r="E96" s="4" t="s">
        <v>410</v>
      </c>
      <c r="F96" s="4">
        <v>1</v>
      </c>
      <c r="G96" s="4" t="s">
        <v>670</v>
      </c>
      <c r="H96" s="4">
        <v>100</v>
      </c>
      <c r="I96" s="4" t="s">
        <v>1091</v>
      </c>
      <c r="J96" s="5">
        <v>2588426.4699999997</v>
      </c>
      <c r="K96" s="5">
        <v>259.43</v>
      </c>
      <c r="L96" s="5">
        <v>472.85</v>
      </c>
      <c r="M96" s="5">
        <v>0</v>
      </c>
      <c r="N96" s="5">
        <v>12578568</v>
      </c>
      <c r="O96" s="5">
        <v>0</v>
      </c>
      <c r="P96" s="5">
        <v>82.38</v>
      </c>
      <c r="Q96" s="5">
        <v>0</v>
      </c>
      <c r="R96" s="5">
        <v>0</v>
      </c>
      <c r="S96" s="5">
        <v>0</v>
      </c>
      <c r="T96" s="5">
        <v>0</v>
      </c>
      <c r="U96" s="5">
        <v>0</v>
      </c>
      <c r="V96" s="5">
        <v>6556.4699999999993</v>
      </c>
      <c r="W96" s="5">
        <v>13322.48</v>
      </c>
      <c r="X96" s="5">
        <v>25514.9</v>
      </c>
      <c r="Y96" s="5">
        <v>0.39</v>
      </c>
      <c r="Z96" s="5">
        <v>17</v>
      </c>
      <c r="AA96" s="5">
        <v>108</v>
      </c>
      <c r="AB96" s="5">
        <v>38</v>
      </c>
      <c r="AC96" s="5">
        <v>70</v>
      </c>
      <c r="AD96" s="5">
        <v>0</v>
      </c>
      <c r="AE96" s="5">
        <v>0</v>
      </c>
      <c r="AF96" s="5">
        <v>2</v>
      </c>
      <c r="AG96" s="5">
        <v>3</v>
      </c>
      <c r="AH96" s="5">
        <v>0.48099999999999998</v>
      </c>
      <c r="AI96" s="5">
        <v>0</v>
      </c>
      <c r="AJ96" s="5">
        <v>0</v>
      </c>
      <c r="AK96" s="5">
        <v>0</v>
      </c>
      <c r="AL96" s="5">
        <v>230.51999999999998</v>
      </c>
      <c r="AM96" s="5">
        <v>4.3199999999999932</v>
      </c>
      <c r="AN96" s="5">
        <v>233</v>
      </c>
      <c r="AO96" s="5">
        <f t="shared" si="94"/>
        <v>0</v>
      </c>
      <c r="AP96" s="5">
        <f t="shared" si="101"/>
        <v>0</v>
      </c>
      <c r="AQ96" s="5">
        <v>1.38</v>
      </c>
      <c r="AR96" s="5">
        <v>0</v>
      </c>
      <c r="AS96" s="5">
        <v>0</v>
      </c>
      <c r="AT96" s="5">
        <v>112336</v>
      </c>
      <c r="AU96" s="5">
        <v>0</v>
      </c>
      <c r="AV96" s="5">
        <v>1584</v>
      </c>
      <c r="AW96" s="199">
        <v>472.85</v>
      </c>
      <c r="AX96" s="199">
        <v>1</v>
      </c>
      <c r="AY96" s="199">
        <v>0</v>
      </c>
      <c r="AZ96" s="199">
        <v>0</v>
      </c>
      <c r="BA96" s="5">
        <v>217410.12</v>
      </c>
      <c r="BB96" s="13">
        <v>688113.78</v>
      </c>
      <c r="BC96" s="190">
        <f>MAX(ROUND(IF(F96&lt;4,IF(H96=0,(SUM(Y96:AD96)*Worksheet!$E$26+Y96*Worksheet!$E$27+AR96*Worksheet!$E$39)*-BaseRate,0)),2),MIN(0,-DI96))</f>
        <v>0</v>
      </c>
      <c r="BD96" s="190">
        <f>MAX(ROUND(IF(F96=4,0,IF(I96=0,0,ROUND(SUM(Y96:AD96)*Worksheet!$E$28,2)*-BaseRate)),2),MIN(0,-DI96-BC96))</f>
        <v>-5467.51</v>
      </c>
      <c r="BE96" s="130">
        <f t="shared" si="87"/>
        <v>0</v>
      </c>
      <c r="BF96" s="130">
        <f t="shared" si="88"/>
        <v>1403</v>
      </c>
      <c r="BG96" s="73"/>
      <c r="BH96" s="191">
        <f t="shared" si="89"/>
        <v>39764.07</v>
      </c>
      <c r="BI96" s="191">
        <f t="shared" si="90"/>
        <v>9977.36</v>
      </c>
      <c r="BJ96" s="232">
        <f>IFERROR(ROUND(IF(AND(BB96*1.12&lt;N96*60/1000,N96/CL96&lt;STVPP*0.2),(CL96*STVPP*0.2*Worksheet!$F$88/1000-BB96*1.12)*PropTaxAdj,IF(BB96*1.12&lt;N96*60/1000,(N96*60/1000-BB96*1.12)*PropTaxAdj,0)),2),0)</f>
        <v>0</v>
      </c>
      <c r="BK96" s="192">
        <f>ROUND(IF($F96=4,0,Y96*Worksheet!$E$16),2)</f>
        <v>0.39</v>
      </c>
      <c r="BL96" s="192">
        <f>ROUND(IF($F96=4,0,Z96*Worksheet!$E$17),2)</f>
        <v>17</v>
      </c>
      <c r="BM96" s="192">
        <f>ROUND(IF($F96=4,0,AA96*Worksheet!$E$18),2)</f>
        <v>108</v>
      </c>
      <c r="BN96" s="192">
        <f>ROUND(IF($F96=4,0,AB96*Worksheet!$E$19),2)</f>
        <v>38</v>
      </c>
      <c r="BO96" s="192">
        <f>ROUND(IF($F96=4,0,AC96*Worksheet!$E$20),2)</f>
        <v>70</v>
      </c>
      <c r="BP96" s="192">
        <f>ROUND(AD96*Worksheet!$E$21,2)</f>
        <v>0</v>
      </c>
      <c r="BQ96" s="192">
        <f t="shared" si="76"/>
        <v>233.39</v>
      </c>
      <c r="BR96" s="192">
        <f>ROUND(AD96*Worksheet!$E$25,2)</f>
        <v>0</v>
      </c>
      <c r="BS96" s="192">
        <f>ROUND(SUM(BQ96)*Worksheet!$E$26,2)</f>
        <v>20.54</v>
      </c>
      <c r="BT96" s="192">
        <f>ROUND(Y96*Worksheet!$E$27,2)</f>
        <v>7.0000000000000007E-2</v>
      </c>
      <c r="BU96" s="192">
        <f>ROUND(AO96*Worksheet!$E$29,2)</f>
        <v>0</v>
      </c>
      <c r="BV96" s="192">
        <f>ROUND(AP96*Worksheet!$E$30,2)</f>
        <v>0</v>
      </c>
      <c r="BW96" s="192">
        <f>ROUND(IF($I96&lt;&gt;0,$BQ96*Worksheet!$E$28,0),2)</f>
        <v>0.47</v>
      </c>
      <c r="BX96" s="192">
        <f>ROUND(AE96*Worksheet!$E$31,2)</f>
        <v>0</v>
      </c>
      <c r="BY96" s="192">
        <f>ROUND(AF96*Worksheet!$E$32,2)</f>
        <v>0.56000000000000005</v>
      </c>
      <c r="BZ96" s="192">
        <f>ROUND(AG96*Worksheet!$E$33,2)</f>
        <v>0.21</v>
      </c>
      <c r="CA96" s="192">
        <f>ROUND(ROUND(AH96*BQ96,2)*Worksheet!$E$34,2)</f>
        <v>2.81</v>
      </c>
      <c r="CB96" s="192">
        <f>ROUND(AI96*Worksheet!$E$35,2)</f>
        <v>0</v>
      </c>
      <c r="CC96" s="192">
        <f>ROUND(AJ96*Worksheet!$E$36,2)</f>
        <v>0</v>
      </c>
      <c r="CD96" s="192">
        <f>ROUND(AQ96*Worksheet!$E$38,2)</f>
        <v>0.83</v>
      </c>
      <c r="CE96" s="192">
        <f>ROUND(AR96*Worksheet!$E$39,2)</f>
        <v>0</v>
      </c>
      <c r="CF96" s="192">
        <f>IF(AND(L96&gt;275,SUM(Y96:AD96)&lt;100),ROUND(SUM(Y96:AD96)*Worksheet!$E$41,2),0)</f>
        <v>0</v>
      </c>
      <c r="CG96" s="192">
        <f>IF(AND(L96&gt;600,SUM(Y96:AD96)&lt;50),ROUND((50-SUM(Y96:AD96))*(Worksheet!$E$41+1),2),0)</f>
        <v>0</v>
      </c>
      <c r="CH96" s="192">
        <f t="shared" si="77"/>
        <v>258.87999999999994</v>
      </c>
      <c r="CI96" s="116">
        <f t="shared" si="95"/>
        <v>0</v>
      </c>
      <c r="CJ96" s="116">
        <f t="shared" si="96"/>
        <v>258.87999999999994</v>
      </c>
      <c r="CK96" s="95">
        <f t="shared" si="91"/>
        <v>1.2219</v>
      </c>
      <c r="CL96" s="116">
        <f t="shared" si="97"/>
        <v>316.33</v>
      </c>
      <c r="CM96" s="116">
        <f t="shared" si="98"/>
        <v>316.33</v>
      </c>
      <c r="CN96" s="116">
        <f t="shared" si="92"/>
        <v>3679866.89</v>
      </c>
      <c r="CO96" s="131">
        <f>ROUND(IF(F96=4,0,(MAX(ROUND(MAX((BI96*MIN(CL96,K96)*Worksheet!$D$126)+MAX(CL96-K96,0)*Worksheet!$F$50,SUM(J96)),2),SUM(CN96))-SUM(CN96))*MinAdj),2)</f>
        <v>0</v>
      </c>
      <c r="CP96" s="192">
        <f t="shared" si="93"/>
        <v>3679866.89</v>
      </c>
      <c r="CQ96" s="131">
        <f>IF(CL96=0,0,-MIN(CP96,MIN(CP96,ROUND(IF(ROUND(IF(CL96=0,0,N96/CL96),2)&lt;STVPP*0.2,STVPP*0.2*CL96*Worksheet!$F$88/1000,N96*Worksheet!$F$88/1000),2))))</f>
        <v>-754714.08</v>
      </c>
      <c r="CR96" s="193">
        <f>-MIN(SUM(CP96,CQ96),IF($P96=0,(ROUND(Worksheet!$E$77*S96,2)+ROUND(Worksheet!$E$78*T96,2)+ROUND(Worksheet!$E$79*U96,2)+ROUND(Worksheet!$E$80*V96,2)+ROUND(Worksheet!$E$81*W96,2)+ROUND(Worksheet!$E$82*X96,2)),(ROUND(ROUND(S96*ROUND((1-$O96/$P96),4),2)*Worksheet!$E$77,2)+ROUND(ROUND(T96*ROUND((1-$O96/$P96),4),2)*Worksheet!$E$78,2)+ROUND(ROUND(U96*ROUND((1-$O96/$P96),4),2)*Worksheet!$E$79,2)+ROUND(ROUND(V96*ROUND((1-$O96/$P96),4),2)*Worksheet!$E$80,2)+ROUND(ROUND(W96*ROUND((1-$O96/$P96),4),2)*Worksheet!$E$81,2)+ROUND(ROUND(X96*ROUND((1-$O96/$P96),4),2)*Worksheet!$E$82,2))))</f>
        <v>-34045.39</v>
      </c>
      <c r="CS96" s="192">
        <f t="shared" si="78"/>
        <v>2891107.42</v>
      </c>
      <c r="CT96" s="116">
        <f>ROUND(MIN(BA96,ROUND((ROUND(AS96*Worksheet!$E$104,2)+ROUND(AV96*Worksheet!$E$107,2)+ROUND(AT96*Worksheet!$E$105,2)+ROUND(AW96*Worksheet!$E$108,2)+ROUND(AU96*Worksheet!$E$106,2)+ROUND(AX96*Worksheet!$E$109,2)+ROUND(AY96*Worksheet!$E$110,2)+ROUND(AZ96*Worksheet!$E$111,2))*Worksheet!$D$114,2))*BaseRate,2)</f>
        <v>155649.54</v>
      </c>
      <c r="CU96" s="121">
        <v>0</v>
      </c>
      <c r="CV96" s="121">
        <v>0</v>
      </c>
      <c r="CW96" s="121">
        <v>0</v>
      </c>
      <c r="CX96" s="121">
        <v>0</v>
      </c>
      <c r="CY96" s="121">
        <v>0</v>
      </c>
      <c r="DA96" s="192">
        <f t="shared" si="79"/>
        <v>0</v>
      </c>
      <c r="DB96" s="192">
        <f>MAX(-CT96,MIN(0,ROUND($R96*EFBPercent+EFBAdd,2)-$Q96),MIN(0,SUM($CS96:CS96)+MIN(0,ROUND($R96*EFBPercent+EFBAdd,2)-$Q96)))</f>
        <v>0</v>
      </c>
      <c r="DC96" s="192">
        <f>IF(CU96&lt;0,0,MAX(-CU96,MIN(0,ROUND($R96*EFBPercent+EFBAdd,2)-$Q96),MIN(0,SUM($CS96:CT96)+MIN(0,ROUND($R96*EFBPercent+EFBAdd,2)-$Q96))))</f>
        <v>0</v>
      </c>
      <c r="DD96" s="192">
        <f>IF(CV96&lt;0,0,MAX(-CV96,MIN(0,ROUND($R96*EFBPercent+EFBAdd,2)-$Q96),MIN(0,SUM($CS96:CU96)+MIN(0,ROUND($R96*EFBPercent+EFBAdd,2)-$Q96))))</f>
        <v>0</v>
      </c>
      <c r="DE96" s="192">
        <f>IF(CW96&lt;0,0,MAX(-CW96,MIN(0,ROUND($R96*EFBPercent+EFBAdd,2)-$Q96),MIN(0,SUM($CS96:CV96)+MIN(0,ROUND($R96*EFBPercent+EFBAdd,2)-$Q96))))</f>
        <v>0</v>
      </c>
      <c r="DF96" s="192">
        <f>IF(CX96&lt;0,0,MAX(-CX96,MIN(0,ROUND($R96*EFBPercent+EFBAdd,2)-$Q96),MIN(0,SUM($CS96:CW96)+MIN(0,ROUND($R96*EFBPercent+EFBAdd,2)-$Q96))))</f>
        <v>0</v>
      </c>
      <c r="DG96" s="192">
        <f>MAX(-CY96,MIN(0,ROUND($R96*EFBPercent+EFBAdd,2)-$Q96),MIN(0,SUM($CS96:CX96)+MIN(0,ROUND($R96*EFBPercent+EFBAdd,2)-$Q96)))</f>
        <v>0</v>
      </c>
      <c r="DI96" s="73">
        <f t="shared" si="80"/>
        <v>2891107.42</v>
      </c>
      <c r="DJ96" s="73">
        <f t="shared" si="81"/>
        <v>155649.54</v>
      </c>
      <c r="DK96" s="73">
        <f t="shared" si="82"/>
        <v>0</v>
      </c>
      <c r="DL96" s="73">
        <f t="shared" si="83"/>
        <v>0</v>
      </c>
      <c r="DM96" s="73">
        <f t="shared" si="84"/>
        <v>0</v>
      </c>
      <c r="DN96" s="73">
        <f t="shared" si="85"/>
        <v>0</v>
      </c>
      <c r="DO96" s="73">
        <f t="shared" si="86"/>
        <v>0</v>
      </c>
      <c r="DP96" s="73"/>
      <c r="DQ96" s="73"/>
    </row>
    <row r="97" spans="1:121" ht="10.199999999999999" x14ac:dyDescent="0.2">
      <c r="A97" s="4" t="s">
        <v>570</v>
      </c>
      <c r="B97" s="188">
        <v>1099</v>
      </c>
      <c r="C97" s="189" t="s">
        <v>96</v>
      </c>
      <c r="D97" s="4">
        <v>2027</v>
      </c>
      <c r="E97" s="4" t="s">
        <v>411</v>
      </c>
      <c r="F97" s="4">
        <v>1</v>
      </c>
      <c r="G97" s="4" t="s">
        <v>686</v>
      </c>
      <c r="H97" s="4">
        <v>100</v>
      </c>
      <c r="I97" s="4" t="s">
        <v>1152</v>
      </c>
      <c r="J97" s="5">
        <v>16506910.43</v>
      </c>
      <c r="K97" s="5">
        <v>1711.27</v>
      </c>
      <c r="L97" s="5">
        <v>1679</v>
      </c>
      <c r="M97" s="5">
        <v>0</v>
      </c>
      <c r="N97" s="5">
        <v>299156312</v>
      </c>
      <c r="O97" s="5">
        <v>12.65</v>
      </c>
      <c r="P97" s="5">
        <v>73.290000000000006</v>
      </c>
      <c r="Q97" s="5">
        <v>0</v>
      </c>
      <c r="R97" s="5">
        <v>0</v>
      </c>
      <c r="S97" s="5">
        <v>0</v>
      </c>
      <c r="T97" s="5">
        <v>3275950.2700000005</v>
      </c>
      <c r="U97" s="5">
        <v>1779052.53</v>
      </c>
      <c r="V97" s="5">
        <v>1574603.29</v>
      </c>
      <c r="W97" s="5">
        <v>57318.92</v>
      </c>
      <c r="X97" s="5">
        <v>26082.67</v>
      </c>
      <c r="Y97" s="5">
        <v>10.130000000000001</v>
      </c>
      <c r="Z97" s="5">
        <v>182</v>
      </c>
      <c r="AA97" s="5">
        <v>1203</v>
      </c>
      <c r="AB97" s="5">
        <v>355</v>
      </c>
      <c r="AC97" s="5">
        <v>592.22</v>
      </c>
      <c r="AD97" s="5">
        <v>38.78</v>
      </c>
      <c r="AE97" s="5">
        <v>46.989999999999995</v>
      </c>
      <c r="AF97" s="5">
        <v>60.419999999999987</v>
      </c>
      <c r="AG97" s="5">
        <v>83.64</v>
      </c>
      <c r="AH97" s="5">
        <v>0.40600000000000003</v>
      </c>
      <c r="AI97" s="5">
        <v>0</v>
      </c>
      <c r="AJ97" s="5">
        <v>0</v>
      </c>
      <c r="AK97" s="5">
        <v>57.89</v>
      </c>
      <c r="AL97" s="5">
        <v>2514.6000000000004</v>
      </c>
      <c r="AM97" s="5">
        <v>52.209999999999582</v>
      </c>
      <c r="AN97" s="5">
        <v>2371</v>
      </c>
      <c r="AO97" s="5">
        <f t="shared" si="94"/>
        <v>143.59999999999991</v>
      </c>
      <c r="AP97" s="5">
        <f t="shared" si="101"/>
        <v>4.5474735088646412E-13</v>
      </c>
      <c r="AQ97" s="5">
        <v>32.630000000000003</v>
      </c>
      <c r="AR97" s="5">
        <v>0</v>
      </c>
      <c r="AS97" s="5">
        <v>0</v>
      </c>
      <c r="AT97" s="5">
        <v>417412</v>
      </c>
      <c r="AU97" s="5">
        <v>0</v>
      </c>
      <c r="AV97" s="5">
        <v>12853</v>
      </c>
      <c r="AW97" s="199">
        <v>1679</v>
      </c>
      <c r="AX97" s="199">
        <v>5</v>
      </c>
      <c r="AY97" s="199">
        <v>11088</v>
      </c>
      <c r="AZ97" s="199">
        <v>0</v>
      </c>
      <c r="BA97" s="5">
        <v>3022758.47</v>
      </c>
      <c r="BB97" s="13">
        <v>17405713.98</v>
      </c>
      <c r="BC97" s="190">
        <f>MAX(ROUND(IF(F97&lt;4,IF(H97=0,(SUM(Y97:AD97)*Worksheet!$E$26+Y97*Worksheet!$E$27+AR97*Worksheet!$E$39)*-BaseRate,0)),2),MIN(0,-DI97))</f>
        <v>0</v>
      </c>
      <c r="BD97" s="190">
        <f>MAX(ROUND(IF(F97=4,0,IF(I97=0,0,ROUND(SUM(Y97:AD97)*Worksheet!$E$28,2)*-BaseRate)),2),MIN(0,-DI97-BC97))</f>
        <v>-55373.08</v>
      </c>
      <c r="BE97" s="130">
        <f t="shared" si="87"/>
        <v>0</v>
      </c>
      <c r="BF97" s="130">
        <f t="shared" si="88"/>
        <v>1412</v>
      </c>
      <c r="BG97" s="73"/>
      <c r="BH97" s="191">
        <f t="shared" si="89"/>
        <v>107692.31</v>
      </c>
      <c r="BI97" s="191">
        <f t="shared" si="90"/>
        <v>9646</v>
      </c>
      <c r="BJ97" s="232">
        <f>IFERROR(ROUND(IF(AND(BB97*1.12&lt;N97*60/1000,N97/CL97&lt;STVPP*0.2),(CL97*STVPP*0.2*Worksheet!$F$88/1000-BB97*1.12)*PropTaxAdj,IF(BB97*1.12&lt;N97*60/1000,(N97*60/1000-BB97*1.12)*PropTaxAdj,0)),2),0)</f>
        <v>0</v>
      </c>
      <c r="BK97" s="192">
        <f>ROUND(IF($F97=4,0,Y97*Worksheet!$E$16),2)</f>
        <v>10.130000000000001</v>
      </c>
      <c r="BL97" s="192">
        <f>ROUND(IF($F97=4,0,Z97*Worksheet!$E$17),2)</f>
        <v>182</v>
      </c>
      <c r="BM97" s="192">
        <f>ROUND(IF($F97=4,0,AA97*Worksheet!$E$18),2)</f>
        <v>1203</v>
      </c>
      <c r="BN97" s="192">
        <f>ROUND(IF($F97=4,0,AB97*Worksheet!$E$19),2)</f>
        <v>355</v>
      </c>
      <c r="BO97" s="192">
        <f>ROUND(IF($F97=4,0,AC97*Worksheet!$E$20),2)</f>
        <v>592.22</v>
      </c>
      <c r="BP97" s="192">
        <f>ROUND(AD97*Worksheet!$E$21,2)</f>
        <v>38.78</v>
      </c>
      <c r="BQ97" s="192">
        <f t="shared" si="76"/>
        <v>2381.1300000000006</v>
      </c>
      <c r="BR97" s="192">
        <f>ROUND(AD97*Worksheet!$E$25,2)</f>
        <v>9.6999999999999993</v>
      </c>
      <c r="BS97" s="192">
        <f>ROUND(SUM(BQ97)*Worksheet!$E$26,2)</f>
        <v>209.54</v>
      </c>
      <c r="BT97" s="192">
        <f>ROUND(Y97*Worksheet!$E$27,2)</f>
        <v>1.72</v>
      </c>
      <c r="BU97" s="192">
        <f>ROUND(AO97*Worksheet!$E$29,2)</f>
        <v>143.6</v>
      </c>
      <c r="BV97" s="192">
        <f>ROUND(AP97*Worksheet!$E$30,2)</f>
        <v>0</v>
      </c>
      <c r="BW97" s="192">
        <f>ROUND(IF($I97&lt;&gt;0,$BQ97*Worksheet!$E$28,0),2)</f>
        <v>4.76</v>
      </c>
      <c r="BX97" s="192">
        <f>ROUND(AE97*Worksheet!$E$31,2)</f>
        <v>18.8</v>
      </c>
      <c r="BY97" s="192">
        <f>ROUND(AF97*Worksheet!$E$32,2)</f>
        <v>16.920000000000002</v>
      </c>
      <c r="BZ97" s="192">
        <f>ROUND(AG97*Worksheet!$E$33,2)</f>
        <v>5.85</v>
      </c>
      <c r="CA97" s="192">
        <f>ROUND(ROUND(AH97*BQ97,2)*Worksheet!$E$34,2)</f>
        <v>24.17</v>
      </c>
      <c r="CB97" s="192">
        <f>ROUND(AI97*Worksheet!$E$35,2)</f>
        <v>0</v>
      </c>
      <c r="CC97" s="192">
        <f>ROUND(AJ97*Worksheet!$E$36,2)</f>
        <v>0</v>
      </c>
      <c r="CD97" s="192">
        <f>ROUND(AQ97*Worksheet!$E$38,2)</f>
        <v>19.579999999999998</v>
      </c>
      <c r="CE97" s="192">
        <f>ROUND(AR97*Worksheet!$E$39,2)</f>
        <v>0</v>
      </c>
      <c r="CF97" s="192">
        <f>IF(AND(L97&gt;275,SUM(Y97:AD97)&lt;100),ROUND(SUM(Y97:AD97)*Worksheet!$E$41,2),0)</f>
        <v>0</v>
      </c>
      <c r="CG97" s="192">
        <f>IF(AND(L97&gt;600,SUM(Y97:AD97)&lt;50),ROUND((50-SUM(Y97:AD97))*(Worksheet!$E$41+1),2),0)</f>
        <v>0</v>
      </c>
      <c r="CH97" s="192">
        <f t="shared" si="77"/>
        <v>2835.7700000000004</v>
      </c>
      <c r="CI97" s="116">
        <f t="shared" si="95"/>
        <v>57.89</v>
      </c>
      <c r="CJ97" s="116">
        <f t="shared" si="96"/>
        <v>2777.8800000000006</v>
      </c>
      <c r="CK97" s="95">
        <f t="shared" si="91"/>
        <v>1</v>
      </c>
      <c r="CL97" s="116">
        <f t="shared" si="97"/>
        <v>2777.88</v>
      </c>
      <c r="CM97" s="116">
        <f t="shared" si="98"/>
        <v>2835.77</v>
      </c>
      <c r="CN97" s="116">
        <f t="shared" si="92"/>
        <v>32988512.41</v>
      </c>
      <c r="CO97" s="131">
        <f>ROUND(IF(F97=4,0,(MAX(ROUND(MAX((BI97*MIN(CL97,K97)*Worksheet!$D$126)+MAX(CL97-K97,0)*Worksheet!$F$50,SUM(J97)),2),SUM(CN97))-SUM(CN97))*MinAdj),2)</f>
        <v>0</v>
      </c>
      <c r="CP97" s="192">
        <f t="shared" si="93"/>
        <v>32988512.41</v>
      </c>
      <c r="CQ97" s="131">
        <f>IF(CL97=0,0,-MIN(CP97,MIN(CP97,ROUND(IF(ROUND(IF(CL97=0,0,N97/CL97),2)&lt;STVPP*0.2,STVPP*0.2*CL97*Worksheet!$F$88/1000,N97*Worksheet!$F$88/1000),2))))</f>
        <v>-17949378.719999999</v>
      </c>
      <c r="CR97" s="193">
        <f>-MIN(SUM(CP97,CQ97),IF($P97=0,(ROUND(Worksheet!$E$77*S97,2)+ROUND(Worksheet!$E$78*T97,2)+ROUND(Worksheet!$E$79*U97,2)+ROUND(Worksheet!$E$80*V97,2)+ROUND(Worksheet!$E$81*W97,2)+ROUND(Worksheet!$E$82*X97,2)),(ROUND(ROUND(S97*ROUND((1-$O97/$P97),4),2)*Worksheet!$E$77,2)+ROUND(ROUND(T97*ROUND((1-$O97/$P97),4),2)*Worksheet!$E$78,2)+ROUND(ROUND(U97*ROUND((1-$O97/$P97),4),2)*Worksheet!$E$79,2)+ROUND(ROUND(V97*ROUND((1-$O97/$P97),4),2)*Worksheet!$E$80,2)+ROUND(ROUND(W97*ROUND((1-$O97/$P97),4),2)*Worksheet!$E$81,2)+ROUND(ROUND(X97*ROUND((1-$O97/$P97),4),2)*Worksheet!$E$82,2))))</f>
        <v>-4165756.91</v>
      </c>
      <c r="CS97" s="192">
        <f t="shared" si="78"/>
        <v>10873376.780000001</v>
      </c>
      <c r="CT97" s="116">
        <f>ROUND(MIN(BA97,ROUND((ROUND(AS97*Worksheet!$E$104,2)+ROUND(AV97*Worksheet!$E$107,2)+ROUND(AT97*Worksheet!$E$105,2)+ROUND(AW97*Worksheet!$E$108,2)+ROUND(AU97*Worksheet!$E$106,2)+ROUND(AX97*Worksheet!$E$109,2)+ROUND(AY97*Worksheet!$E$110,2)+ROUND(AZ97*Worksheet!$E$111,2))*Worksheet!$D$114,2))*BaseRate,2)</f>
        <v>656915.51</v>
      </c>
      <c r="CU97" s="121">
        <v>0</v>
      </c>
      <c r="CV97" s="121">
        <v>0</v>
      </c>
      <c r="CW97" s="121">
        <v>0</v>
      </c>
      <c r="CX97" s="121">
        <v>0</v>
      </c>
      <c r="CY97" s="121">
        <v>0</v>
      </c>
      <c r="DA97" s="192">
        <f t="shared" si="79"/>
        <v>0</v>
      </c>
      <c r="DB97" s="192">
        <f>MAX(-CT97,MIN(0,ROUND($R97*EFBPercent+EFBAdd,2)-$Q97),MIN(0,SUM($CS97:CS97)+MIN(0,ROUND($R97*EFBPercent+EFBAdd,2)-$Q97)))</f>
        <v>0</v>
      </c>
      <c r="DC97" s="192">
        <f>IF(CU97&lt;0,0,MAX(-CU97,MIN(0,ROUND($R97*EFBPercent+EFBAdd,2)-$Q97),MIN(0,SUM($CS97:CT97)+MIN(0,ROUND($R97*EFBPercent+EFBAdd,2)-$Q97))))</f>
        <v>0</v>
      </c>
      <c r="DD97" s="192">
        <f>IF(CV97&lt;0,0,MAX(-CV97,MIN(0,ROUND($R97*EFBPercent+EFBAdd,2)-$Q97),MIN(0,SUM($CS97:CU97)+MIN(0,ROUND($R97*EFBPercent+EFBAdd,2)-$Q97))))</f>
        <v>0</v>
      </c>
      <c r="DE97" s="192">
        <f>IF(CW97&lt;0,0,MAX(-CW97,MIN(0,ROUND($R97*EFBPercent+EFBAdd,2)-$Q97),MIN(0,SUM($CS97:CV97)+MIN(0,ROUND($R97*EFBPercent+EFBAdd,2)-$Q97))))</f>
        <v>0</v>
      </c>
      <c r="DF97" s="192">
        <f>IF(CX97&lt;0,0,MAX(-CX97,MIN(0,ROUND($R97*EFBPercent+EFBAdd,2)-$Q97),MIN(0,SUM($CS97:CW97)+MIN(0,ROUND($R97*EFBPercent+EFBAdd,2)-$Q97))))</f>
        <v>0</v>
      </c>
      <c r="DG97" s="192">
        <f>MAX(-CY97,MIN(0,ROUND($R97*EFBPercent+EFBAdd,2)-$Q97),MIN(0,SUM($CS97:CX97)+MIN(0,ROUND($R97*EFBPercent+EFBAdd,2)-$Q97)))</f>
        <v>0</v>
      </c>
      <c r="DI97" s="73">
        <f t="shared" si="80"/>
        <v>10873376.780000001</v>
      </c>
      <c r="DJ97" s="73">
        <f t="shared" si="81"/>
        <v>656915.51</v>
      </c>
      <c r="DK97" s="73">
        <f t="shared" si="82"/>
        <v>0</v>
      </c>
      <c r="DL97" s="73">
        <f t="shared" si="83"/>
        <v>0</v>
      </c>
      <c r="DM97" s="73">
        <f t="shared" si="84"/>
        <v>0</v>
      </c>
      <c r="DN97" s="73">
        <f t="shared" si="85"/>
        <v>0</v>
      </c>
      <c r="DO97" s="73">
        <f t="shared" si="86"/>
        <v>0</v>
      </c>
      <c r="DP97" s="73"/>
      <c r="DQ97" s="73"/>
    </row>
    <row r="98" spans="1:121" ht="10.199999999999999" x14ac:dyDescent="0.2">
      <c r="A98" s="4" t="s">
        <v>571</v>
      </c>
      <c r="B98" s="188">
        <v>1001</v>
      </c>
      <c r="C98" s="189" t="s">
        <v>97</v>
      </c>
      <c r="D98" s="4">
        <v>2027</v>
      </c>
      <c r="E98" s="4" t="s">
        <v>412</v>
      </c>
      <c r="F98" s="4">
        <v>1</v>
      </c>
      <c r="G98" s="4" t="s">
        <v>686</v>
      </c>
      <c r="H98" s="4">
        <v>100</v>
      </c>
      <c r="I98" s="4" t="s">
        <v>1152</v>
      </c>
      <c r="J98" s="5">
        <v>2965911.73</v>
      </c>
      <c r="K98" s="5">
        <v>294.95</v>
      </c>
      <c r="L98" s="5">
        <v>323</v>
      </c>
      <c r="M98" s="5">
        <v>0</v>
      </c>
      <c r="N98" s="5">
        <v>42227705</v>
      </c>
      <c r="O98" s="5">
        <v>3.75</v>
      </c>
      <c r="P98" s="5">
        <v>93.160000000000011</v>
      </c>
      <c r="Q98" s="5">
        <v>0</v>
      </c>
      <c r="R98" s="5">
        <v>0</v>
      </c>
      <c r="S98" s="5">
        <v>48637.58</v>
      </c>
      <c r="T98" s="5">
        <v>463743.52</v>
      </c>
      <c r="U98" s="5">
        <v>275735.40999999997</v>
      </c>
      <c r="V98" s="5">
        <v>1251128.81</v>
      </c>
      <c r="W98" s="5">
        <v>17402.099999999999</v>
      </c>
      <c r="X98" s="5">
        <v>9900.68</v>
      </c>
      <c r="Y98" s="5">
        <v>0.56999999999999995</v>
      </c>
      <c r="Z98" s="5">
        <v>20</v>
      </c>
      <c r="AA98" s="5">
        <v>159</v>
      </c>
      <c r="AB98" s="5">
        <v>51</v>
      </c>
      <c r="AC98" s="5">
        <v>85</v>
      </c>
      <c r="AD98" s="5">
        <v>0</v>
      </c>
      <c r="AE98" s="5">
        <v>2</v>
      </c>
      <c r="AF98" s="5">
        <v>1</v>
      </c>
      <c r="AG98" s="5">
        <v>0</v>
      </c>
      <c r="AH98" s="5">
        <v>0.373</v>
      </c>
      <c r="AI98" s="5">
        <v>0</v>
      </c>
      <c r="AJ98" s="5">
        <v>0</v>
      </c>
      <c r="AK98" s="5">
        <v>0</v>
      </c>
      <c r="AL98" s="5">
        <v>335.03999999999996</v>
      </c>
      <c r="AM98" s="5">
        <v>6.2599999999999909</v>
      </c>
      <c r="AN98" s="5">
        <v>315</v>
      </c>
      <c r="AO98" s="5">
        <f t="shared" si="94"/>
        <v>20.039999999999964</v>
      </c>
      <c r="AP98" s="5">
        <f t="shared" si="101"/>
        <v>0</v>
      </c>
      <c r="AQ98" s="5">
        <v>5.36</v>
      </c>
      <c r="AR98" s="5">
        <v>0.03</v>
      </c>
      <c r="AS98" s="5">
        <v>0</v>
      </c>
      <c r="AT98" s="5">
        <v>81306</v>
      </c>
      <c r="AU98" s="5">
        <v>0</v>
      </c>
      <c r="AV98" s="5">
        <v>2154</v>
      </c>
      <c r="AW98" s="199">
        <v>323</v>
      </c>
      <c r="AX98" s="199">
        <v>1</v>
      </c>
      <c r="AY98" s="199">
        <v>0</v>
      </c>
      <c r="AZ98" s="199">
        <v>0</v>
      </c>
      <c r="BA98" s="5">
        <v>312719.67</v>
      </c>
      <c r="BB98" s="13">
        <v>2344698.84</v>
      </c>
      <c r="BC98" s="190">
        <f>MAX(ROUND(IF(F98&lt;4,IF(H98=0,(SUM(Y98:AD98)*Worksheet!$E$26+Y98*Worksheet!$E$27+AR98*Worksheet!$E$39)*-BaseRate,0)),2),MIN(0,-DI98))</f>
        <v>0</v>
      </c>
      <c r="BD98" s="190">
        <f>MAX(ROUND(IF(F98=4,0,IF(I98=0,0,ROUND(SUM(Y98:AD98)*Worksheet!$E$28,2)*-BaseRate)),2),MIN(0,-DI98-BC98))</f>
        <v>-7328.79</v>
      </c>
      <c r="BE98" s="130">
        <f t="shared" si="87"/>
        <v>0</v>
      </c>
      <c r="BF98" s="130">
        <f t="shared" si="88"/>
        <v>1412</v>
      </c>
      <c r="BG98" s="73"/>
      <c r="BH98" s="191">
        <f t="shared" si="89"/>
        <v>103367.53</v>
      </c>
      <c r="BI98" s="191">
        <f t="shared" si="90"/>
        <v>10055.64</v>
      </c>
      <c r="BJ98" s="232">
        <f>IFERROR(ROUND(IF(AND(BB98*1.12&lt;N98*60/1000,N98/CL98&lt;STVPP*0.2),(CL98*STVPP*0.2*Worksheet!$F$88/1000-BB98*1.12)*PropTaxAdj,IF(BB98*1.12&lt;N98*60/1000,(N98*60/1000-BB98*1.12)*PropTaxAdj,0)),2),0)</f>
        <v>0</v>
      </c>
      <c r="BK98" s="192">
        <f>ROUND(IF($F98=4,0,Y98*Worksheet!$E$16),2)</f>
        <v>0.56999999999999995</v>
      </c>
      <c r="BL98" s="192">
        <f>ROUND(IF($F98=4,0,Z98*Worksheet!$E$17),2)</f>
        <v>20</v>
      </c>
      <c r="BM98" s="192">
        <f>ROUND(IF($F98=4,0,AA98*Worksheet!$E$18),2)</f>
        <v>159</v>
      </c>
      <c r="BN98" s="192">
        <f>ROUND(IF($F98=4,0,AB98*Worksheet!$E$19),2)</f>
        <v>51</v>
      </c>
      <c r="BO98" s="192">
        <f>ROUND(IF($F98=4,0,AC98*Worksheet!$E$20),2)</f>
        <v>85</v>
      </c>
      <c r="BP98" s="192">
        <f>ROUND(AD98*Worksheet!$E$21,2)</f>
        <v>0</v>
      </c>
      <c r="BQ98" s="192">
        <f t="shared" si="76"/>
        <v>315.57</v>
      </c>
      <c r="BR98" s="192">
        <f>ROUND(AD98*Worksheet!$E$25,2)</f>
        <v>0</v>
      </c>
      <c r="BS98" s="192">
        <f>ROUND(SUM(BQ98)*Worksheet!$E$26,2)</f>
        <v>27.77</v>
      </c>
      <c r="BT98" s="192">
        <f>ROUND(Y98*Worksheet!$E$27,2)</f>
        <v>0.1</v>
      </c>
      <c r="BU98" s="192">
        <f>ROUND(AO98*Worksheet!$E$29,2)</f>
        <v>20.04</v>
      </c>
      <c r="BV98" s="192">
        <f>ROUND(AP98*Worksheet!$E$30,2)</f>
        <v>0</v>
      </c>
      <c r="BW98" s="192">
        <f>ROUND(IF($I98&lt;&gt;0,$BQ98*Worksheet!$E$28,0),2)</f>
        <v>0.63</v>
      </c>
      <c r="BX98" s="192">
        <f>ROUND(AE98*Worksheet!$E$31,2)</f>
        <v>0.8</v>
      </c>
      <c r="BY98" s="192">
        <f>ROUND(AF98*Worksheet!$E$32,2)</f>
        <v>0.28000000000000003</v>
      </c>
      <c r="BZ98" s="192">
        <f>ROUND(AG98*Worksheet!$E$33,2)</f>
        <v>0</v>
      </c>
      <c r="CA98" s="192">
        <f>ROUND(ROUND(AH98*BQ98,2)*Worksheet!$E$34,2)</f>
        <v>2.94</v>
      </c>
      <c r="CB98" s="192">
        <f>ROUND(AI98*Worksheet!$E$35,2)</f>
        <v>0</v>
      </c>
      <c r="CC98" s="192">
        <f>ROUND(AJ98*Worksheet!$E$36,2)</f>
        <v>0</v>
      </c>
      <c r="CD98" s="192">
        <f>ROUND(AQ98*Worksheet!$E$38,2)</f>
        <v>3.22</v>
      </c>
      <c r="CE98" s="192">
        <f>ROUND(AR98*Worksheet!$E$39,2)</f>
        <v>0.03</v>
      </c>
      <c r="CF98" s="192">
        <f>IF(AND(L98&gt;275,SUM(Y98:AD98)&lt;100),ROUND(SUM(Y98:AD98)*Worksheet!$E$41,2),0)</f>
        <v>0</v>
      </c>
      <c r="CG98" s="192">
        <f>IF(AND(L98&gt;600,SUM(Y98:AD98)&lt;50),ROUND((50-SUM(Y98:AD98))*(Worksheet!$E$41+1),2),0)</f>
        <v>0</v>
      </c>
      <c r="CH98" s="192">
        <f t="shared" si="77"/>
        <v>371.38</v>
      </c>
      <c r="CI98" s="116">
        <f t="shared" si="95"/>
        <v>0</v>
      </c>
      <c r="CJ98" s="116">
        <f t="shared" si="96"/>
        <v>371.38</v>
      </c>
      <c r="CK98" s="95">
        <f t="shared" si="91"/>
        <v>1.1000000000000001</v>
      </c>
      <c r="CL98" s="116">
        <f t="shared" si="97"/>
        <v>408.52</v>
      </c>
      <c r="CM98" s="116">
        <f t="shared" si="98"/>
        <v>408.52</v>
      </c>
      <c r="CN98" s="116">
        <f t="shared" si="92"/>
        <v>4752313.16</v>
      </c>
      <c r="CO98" s="131">
        <f>ROUND(IF(F98=4,0,(MAX(ROUND(MAX((BI98*MIN(CL98,K98)*Worksheet!$D$126)+MAX(CL98-K98,0)*Worksheet!$F$50,SUM(J98)),2),SUM(CN98))-SUM(CN98))*MinAdj),2)</f>
        <v>0</v>
      </c>
      <c r="CP98" s="192">
        <f t="shared" si="93"/>
        <v>4752313.16</v>
      </c>
      <c r="CQ98" s="131">
        <f>IF(CL98=0,0,-MIN(CP98,MIN(CP98,ROUND(IF(ROUND(IF(CL98=0,0,N98/CL98),2)&lt;STVPP*0.2,STVPP*0.2*CL98*Worksheet!$F$88/1000,N98*Worksheet!$F$88/1000),2))))</f>
        <v>-2533662.2999999998</v>
      </c>
      <c r="CR98" s="193">
        <f>-MIN(SUM(CP98,CQ98),IF($P98=0,(ROUND(Worksheet!$E$77*S98,2)+ROUND(Worksheet!$E$78*T98,2)+ROUND(Worksheet!$E$79*U98,2)+ROUND(Worksheet!$E$80*V98,2)+ROUND(Worksheet!$E$81*W98,2)+ROUND(Worksheet!$E$82*X98,2)),(ROUND(ROUND(S98*ROUND((1-$O98/$P98),4),2)*Worksheet!$E$77,2)+ROUND(ROUND(T98*ROUND((1-$O98/$P98),4),2)*Worksheet!$E$78,2)+ROUND(ROUND(U98*ROUND((1-$O98/$P98),4),2)*Worksheet!$E$79,2)+ROUND(ROUND(V98*ROUND((1-$O98/$P98),4),2)*Worksheet!$E$80,2)+ROUND(ROUND(W98*ROUND((1-$O98/$P98),4),2)*Worksheet!$E$81,2)+ROUND(ROUND(X98*ROUND((1-$O98/$P98),4),2)*Worksheet!$E$82,2))))</f>
        <v>-1487449.6700000002</v>
      </c>
      <c r="CS98" s="192">
        <f t="shared" si="78"/>
        <v>731201.19000000018</v>
      </c>
      <c r="CT98" s="116">
        <f>ROUND(MIN(BA98,ROUND((ROUND(AS98*Worksheet!$E$104,2)+ROUND(AV98*Worksheet!$E$107,2)+ROUND(AT98*Worksheet!$E$105,2)+ROUND(AW98*Worksheet!$E$108,2)+ROUND(AU98*Worksheet!$E$106,2)+ROUND(AX98*Worksheet!$E$109,2)+ROUND(AY98*Worksheet!$E$110,2)+ROUND(AZ98*Worksheet!$E$111,2))*Worksheet!$D$114,2))*BaseRate,2)</f>
        <v>123658.79</v>
      </c>
      <c r="CU98" s="121">
        <v>0</v>
      </c>
      <c r="CV98" s="121">
        <v>0</v>
      </c>
      <c r="CW98" s="121">
        <v>0</v>
      </c>
      <c r="CX98" s="121">
        <v>0</v>
      </c>
      <c r="CY98" s="121">
        <v>0</v>
      </c>
      <c r="DA98" s="192">
        <f t="shared" si="79"/>
        <v>0</v>
      </c>
      <c r="DB98" s="192">
        <f>MAX(-CT98,MIN(0,ROUND($R98*EFBPercent+EFBAdd,2)-$Q98),MIN(0,SUM($CS98:CS98)+MIN(0,ROUND($R98*EFBPercent+EFBAdd,2)-$Q98)))</f>
        <v>0</v>
      </c>
      <c r="DC98" s="192">
        <f>IF(CU98&lt;0,0,MAX(-CU98,MIN(0,ROUND($R98*EFBPercent+EFBAdd,2)-$Q98),MIN(0,SUM($CS98:CT98)+MIN(0,ROUND($R98*EFBPercent+EFBAdd,2)-$Q98))))</f>
        <v>0</v>
      </c>
      <c r="DD98" s="192">
        <f>IF(CV98&lt;0,0,MAX(-CV98,MIN(0,ROUND($R98*EFBPercent+EFBAdd,2)-$Q98),MIN(0,SUM($CS98:CU98)+MIN(0,ROUND($R98*EFBPercent+EFBAdd,2)-$Q98))))</f>
        <v>0</v>
      </c>
      <c r="DE98" s="192">
        <f>IF(CW98&lt;0,0,MAX(-CW98,MIN(0,ROUND($R98*EFBPercent+EFBAdd,2)-$Q98),MIN(0,SUM($CS98:CV98)+MIN(0,ROUND($R98*EFBPercent+EFBAdd,2)-$Q98))))</f>
        <v>0</v>
      </c>
      <c r="DF98" s="192">
        <f>IF(CX98&lt;0,0,MAX(-CX98,MIN(0,ROUND($R98*EFBPercent+EFBAdd,2)-$Q98),MIN(0,SUM($CS98:CW98)+MIN(0,ROUND($R98*EFBPercent+EFBAdd,2)-$Q98))))</f>
        <v>0</v>
      </c>
      <c r="DG98" s="192">
        <f>MAX(-CY98,MIN(0,ROUND($R98*EFBPercent+EFBAdd,2)-$Q98),MIN(0,SUM($CS98:CX98)+MIN(0,ROUND($R98*EFBPercent+EFBAdd,2)-$Q98)))</f>
        <v>0</v>
      </c>
      <c r="DI98" s="73">
        <f t="shared" si="80"/>
        <v>731201.19000000018</v>
      </c>
      <c r="DJ98" s="73">
        <f t="shared" si="81"/>
        <v>123658.79</v>
      </c>
      <c r="DK98" s="73">
        <f t="shared" si="82"/>
        <v>0</v>
      </c>
      <c r="DL98" s="73">
        <f t="shared" si="83"/>
        <v>0</v>
      </c>
      <c r="DM98" s="73">
        <f t="shared" si="84"/>
        <v>0</v>
      </c>
      <c r="DN98" s="73">
        <f t="shared" si="85"/>
        <v>0</v>
      </c>
      <c r="DO98" s="73">
        <f t="shared" si="86"/>
        <v>0</v>
      </c>
      <c r="DP98" s="73"/>
      <c r="DQ98" s="73"/>
    </row>
    <row r="99" spans="1:121" ht="10.199999999999999" x14ac:dyDescent="0.2">
      <c r="A99" s="4" t="s">
        <v>572</v>
      </c>
      <c r="B99" s="188">
        <v>1179</v>
      </c>
      <c r="C99" s="189" t="s">
        <v>98</v>
      </c>
      <c r="D99" s="4">
        <v>2027</v>
      </c>
      <c r="E99" s="4" t="s">
        <v>413</v>
      </c>
      <c r="F99" s="4">
        <v>2</v>
      </c>
      <c r="G99" s="4" t="s">
        <v>686</v>
      </c>
      <c r="H99" s="4">
        <v>100</v>
      </c>
      <c r="I99" s="4" t="s">
        <v>1152</v>
      </c>
      <c r="J99" s="5">
        <v>1366838.2</v>
      </c>
      <c r="K99" s="5">
        <v>141.69999999999999</v>
      </c>
      <c r="L99" s="5">
        <v>147</v>
      </c>
      <c r="M99" s="5">
        <v>0</v>
      </c>
      <c r="N99" s="5">
        <v>12039498</v>
      </c>
      <c r="O99" s="5">
        <v>9.66</v>
      </c>
      <c r="P99" s="5">
        <v>73.180000000000007</v>
      </c>
      <c r="Q99" s="5">
        <v>0</v>
      </c>
      <c r="R99" s="5">
        <v>0</v>
      </c>
      <c r="S99" s="5">
        <v>0</v>
      </c>
      <c r="T99" s="5">
        <v>224090.47</v>
      </c>
      <c r="U99" s="5">
        <v>0</v>
      </c>
      <c r="V99" s="5">
        <v>63593.78</v>
      </c>
      <c r="W99" s="5">
        <v>2960.9799999999996</v>
      </c>
      <c r="X99" s="5">
        <v>3999.48</v>
      </c>
      <c r="Y99" s="5">
        <v>0</v>
      </c>
      <c r="Z99" s="5">
        <v>35</v>
      </c>
      <c r="AA99" s="5">
        <v>211</v>
      </c>
      <c r="AB99" s="5">
        <v>33</v>
      </c>
      <c r="AC99" s="5">
        <v>29.15</v>
      </c>
      <c r="AD99" s="5">
        <v>0</v>
      </c>
      <c r="AE99" s="5">
        <v>0</v>
      </c>
      <c r="AF99" s="5">
        <v>0</v>
      </c>
      <c r="AG99" s="5">
        <v>0</v>
      </c>
      <c r="AH99" s="5">
        <v>0.20100000000000001</v>
      </c>
      <c r="AI99" s="5">
        <v>0</v>
      </c>
      <c r="AJ99" s="5">
        <v>0</v>
      </c>
      <c r="AK99" s="5">
        <v>129.53</v>
      </c>
      <c r="AL99" s="5">
        <v>325.38</v>
      </c>
      <c r="AM99" s="5">
        <v>57.809999999999974</v>
      </c>
      <c r="AN99" s="5">
        <v>279</v>
      </c>
      <c r="AO99" s="5">
        <f t="shared" si="94"/>
        <v>17.230000000000018</v>
      </c>
      <c r="AP99" s="5">
        <f t="shared" si="101"/>
        <v>29.149999999999977</v>
      </c>
      <c r="AQ99" s="5">
        <v>0</v>
      </c>
      <c r="AR99" s="5">
        <v>0</v>
      </c>
      <c r="AS99" s="5">
        <v>300</v>
      </c>
      <c r="AT99" s="5">
        <v>31326.68</v>
      </c>
      <c r="AU99" s="5">
        <v>300</v>
      </c>
      <c r="AV99" s="5">
        <v>920</v>
      </c>
      <c r="AW99" s="199">
        <v>147</v>
      </c>
      <c r="AX99" s="199">
        <v>1</v>
      </c>
      <c r="AY99" s="199">
        <v>3185.5</v>
      </c>
      <c r="AZ99" s="199">
        <v>0</v>
      </c>
      <c r="BA99" s="5">
        <v>149749.66</v>
      </c>
      <c r="BB99" s="13">
        <v>649415.52</v>
      </c>
      <c r="BC99" s="190">
        <f>MAX(ROUND(IF(F99&lt;4,IF(H99=0,(SUM(Y99:AD99)*Worksheet!$E$26+Y99*Worksheet!$E$27+AR99*Worksheet!$E$39)*-BaseRate,0)),2),MIN(0,-DI99))</f>
        <v>0</v>
      </c>
      <c r="BD99" s="190">
        <f>MAX(ROUND(IF(F99=4,0,IF(I99=0,0,ROUND(SUM(Y99:AD99)*Worksheet!$E$28,2)*-BaseRate)),2),MIN(0,-DI99-BC99))</f>
        <v>-7212.46</v>
      </c>
      <c r="BE99" s="130">
        <f t="shared" si="87"/>
        <v>0</v>
      </c>
      <c r="BF99" s="130">
        <f t="shared" si="88"/>
        <v>1412</v>
      </c>
      <c r="BG99" s="73"/>
      <c r="BH99" s="191">
        <f t="shared" si="89"/>
        <v>46416.45</v>
      </c>
      <c r="BI99" s="191">
        <f t="shared" si="90"/>
        <v>9646</v>
      </c>
      <c r="BJ99" s="232">
        <f>IFERROR(ROUND(IF(AND(BB99*1.12&lt;N99*60/1000,N99/CL99&lt;STVPP*0.2),(CL99*STVPP*0.2*Worksheet!$F$88/1000-BB99*1.12)*PropTaxAdj,IF(BB99*1.12&lt;N99*60/1000,(N99*60/1000-BB99*1.12)*PropTaxAdj,0)),2),0)</f>
        <v>0</v>
      </c>
      <c r="BK99" s="192">
        <f>ROUND(IF($F99=4,0,Y99*Worksheet!$E$16),2)</f>
        <v>0</v>
      </c>
      <c r="BL99" s="192">
        <f>ROUND(IF($F99=4,0,Z99*Worksheet!$E$17),2)</f>
        <v>35</v>
      </c>
      <c r="BM99" s="192">
        <f>ROUND(IF($F99=4,0,AA99*Worksheet!$E$18),2)</f>
        <v>211</v>
      </c>
      <c r="BN99" s="192">
        <f>ROUND(IF($F99=4,0,AB99*Worksheet!$E$19),2)</f>
        <v>33</v>
      </c>
      <c r="BO99" s="192">
        <f>ROUND(IF($F99=4,0,AC99*Worksheet!$E$20),2)</f>
        <v>29.15</v>
      </c>
      <c r="BP99" s="192">
        <f>ROUND(AD99*Worksheet!$E$21,2)</f>
        <v>0</v>
      </c>
      <c r="BQ99" s="192">
        <f t="shared" si="76"/>
        <v>308.14999999999998</v>
      </c>
      <c r="BR99" s="192">
        <f>ROUND(AD99*Worksheet!$E$25,2)</f>
        <v>0</v>
      </c>
      <c r="BS99" s="192">
        <f>ROUND(SUM(BQ99)*Worksheet!$E$26,2)</f>
        <v>27.12</v>
      </c>
      <c r="BT99" s="192">
        <f>ROUND(Y99*Worksheet!$E$27,2)</f>
        <v>0</v>
      </c>
      <c r="BU99" s="192">
        <f>ROUND(AO99*Worksheet!$E$29,2)</f>
        <v>17.23</v>
      </c>
      <c r="BV99" s="192">
        <f>ROUND(AP99*Worksheet!$E$30,2)</f>
        <v>29.15</v>
      </c>
      <c r="BW99" s="192">
        <f>ROUND(IF($I99&lt;&gt;0,$BQ99*Worksheet!$E$28,0),2)</f>
        <v>0.62</v>
      </c>
      <c r="BX99" s="192">
        <f>ROUND(AE99*Worksheet!$E$31,2)</f>
        <v>0</v>
      </c>
      <c r="BY99" s="192">
        <f>ROUND(AF99*Worksheet!$E$32,2)</f>
        <v>0</v>
      </c>
      <c r="BZ99" s="192">
        <f>ROUND(AG99*Worksheet!$E$33,2)</f>
        <v>0</v>
      </c>
      <c r="CA99" s="192">
        <f>ROUND(ROUND(AH99*BQ99,2)*Worksheet!$E$34,2)</f>
        <v>1.55</v>
      </c>
      <c r="CB99" s="192">
        <f>ROUND(AI99*Worksheet!$E$35,2)</f>
        <v>0</v>
      </c>
      <c r="CC99" s="192">
        <f>ROUND(AJ99*Worksheet!$E$36,2)</f>
        <v>0</v>
      </c>
      <c r="CD99" s="192">
        <f>ROUND(AQ99*Worksheet!$E$38,2)</f>
        <v>0</v>
      </c>
      <c r="CE99" s="192">
        <f>ROUND(AR99*Worksheet!$E$39,2)</f>
        <v>0</v>
      </c>
      <c r="CF99" s="192">
        <f>IF(AND(L99&gt;275,SUM(Y99:AD99)&lt;100),ROUND(SUM(Y99:AD99)*Worksheet!$E$41,2),0)</f>
        <v>0</v>
      </c>
      <c r="CG99" s="192">
        <f>IF(AND(L99&gt;600,SUM(Y99:AD99)&lt;50),ROUND((50-SUM(Y99:AD99))*(Worksheet!$E$41+1),2),0)</f>
        <v>0</v>
      </c>
      <c r="CH99" s="192">
        <f t="shared" si="77"/>
        <v>383.82</v>
      </c>
      <c r="CI99" s="116">
        <f t="shared" si="95"/>
        <v>129.53</v>
      </c>
      <c r="CJ99" s="116">
        <f t="shared" si="96"/>
        <v>254.29</v>
      </c>
      <c r="CK99" s="95">
        <f t="shared" si="91"/>
        <v>1.02</v>
      </c>
      <c r="CL99" s="116">
        <f t="shared" si="97"/>
        <v>259.38</v>
      </c>
      <c r="CM99" s="116">
        <f t="shared" si="98"/>
        <v>388.90999999999997</v>
      </c>
      <c r="CN99" s="116">
        <f t="shared" si="92"/>
        <v>4524190.03</v>
      </c>
      <c r="CO99" s="131">
        <f>ROUND(IF(F99=4,0,(MAX(ROUND(MAX((BI99*MIN(CL99,K99)*Worksheet!$D$126)+MAX(CL99-K99,0)*Worksheet!$F$50,SUM(J99)),2),SUM(CN99))-SUM(CN99))*MinAdj),2)</f>
        <v>0</v>
      </c>
      <c r="CP99" s="192">
        <f t="shared" si="93"/>
        <v>4524190.03</v>
      </c>
      <c r="CQ99" s="131">
        <f>IF(CL99=0,0,-MIN(CP99,MIN(CP99,ROUND(IF(ROUND(IF(CL99=0,0,N99/CL99),2)&lt;STVPP*0.2,STVPP*0.2*CL99*Worksheet!$F$88/1000,N99*Worksheet!$F$88/1000),2))))</f>
        <v>-722369.88</v>
      </c>
      <c r="CR99" s="193">
        <f>-MIN(SUM(CP99,CQ99),IF($P99=0,(ROUND(Worksheet!$E$77*S99,2)+ROUND(Worksheet!$E$78*T99,2)+ROUND(Worksheet!$E$79*U99,2)+ROUND(Worksheet!$E$80*V99,2)+ROUND(Worksheet!$E$81*W99,2)+ROUND(Worksheet!$E$82*X99,2)),(ROUND(ROUND(S99*ROUND((1-$O99/$P99),4),2)*Worksheet!$E$77,2)+ROUND(ROUND(T99*ROUND((1-$O99/$P99),4),2)*Worksheet!$E$78,2)+ROUND(ROUND(U99*ROUND((1-$O99/$P99),4),2)*Worksheet!$E$79,2)+ROUND(ROUND(V99*ROUND((1-$O99/$P99),4),2)*Worksheet!$E$80,2)+ROUND(ROUND(W99*ROUND((1-$O99/$P99),4),2)*Worksheet!$E$81,2)+ROUND(ROUND(X99*ROUND((1-$O99/$P99),4),2)*Worksheet!$E$82,2))))</f>
        <v>-191813.71000000002</v>
      </c>
      <c r="CS99" s="192">
        <f t="shared" si="78"/>
        <v>3610006.4400000004</v>
      </c>
      <c r="CT99" s="116">
        <f>ROUND(MIN(BA99,ROUND((ROUND(AS99*Worksheet!$E$104,2)+ROUND(AV99*Worksheet!$E$107,2)+ROUND(AT99*Worksheet!$E$105,2)+ROUND(AW99*Worksheet!$E$108,2)+ROUND(AU99*Worksheet!$E$106,2)+ROUND(AX99*Worksheet!$E$109,2)+ROUND(AY99*Worksheet!$E$110,2)+ROUND(AZ99*Worksheet!$E$111,2))*Worksheet!$D$114,2))*BaseRate,2)</f>
        <v>52697.49</v>
      </c>
      <c r="CU99" s="121">
        <v>0</v>
      </c>
      <c r="CV99" s="121">
        <v>0</v>
      </c>
      <c r="CW99" s="121">
        <v>0</v>
      </c>
      <c r="CX99" s="121">
        <v>0</v>
      </c>
      <c r="CY99" s="121">
        <v>0</v>
      </c>
      <c r="DA99" s="192">
        <f t="shared" si="79"/>
        <v>0</v>
      </c>
      <c r="DB99" s="192">
        <f>MAX(-CT99,MIN(0,ROUND($R99*EFBPercent+EFBAdd,2)-$Q99),MIN(0,SUM($CS99:CS99)+MIN(0,ROUND($R99*EFBPercent+EFBAdd,2)-$Q99)))</f>
        <v>0</v>
      </c>
      <c r="DC99" s="192">
        <f>IF(CU99&lt;0,0,MAX(-CU99,MIN(0,ROUND($R99*EFBPercent+EFBAdd,2)-$Q99),MIN(0,SUM($CS99:CT99)+MIN(0,ROUND($R99*EFBPercent+EFBAdd,2)-$Q99))))</f>
        <v>0</v>
      </c>
      <c r="DD99" s="192">
        <f>IF(CV99&lt;0,0,MAX(-CV99,MIN(0,ROUND($R99*EFBPercent+EFBAdd,2)-$Q99),MIN(0,SUM($CS99:CU99)+MIN(0,ROUND($R99*EFBPercent+EFBAdd,2)-$Q99))))</f>
        <v>0</v>
      </c>
      <c r="DE99" s="192">
        <f>IF(CW99&lt;0,0,MAX(-CW99,MIN(0,ROUND($R99*EFBPercent+EFBAdd,2)-$Q99),MIN(0,SUM($CS99:CV99)+MIN(0,ROUND($R99*EFBPercent+EFBAdd,2)-$Q99))))</f>
        <v>0</v>
      </c>
      <c r="DF99" s="192">
        <f>IF(CX99&lt;0,0,MAX(-CX99,MIN(0,ROUND($R99*EFBPercent+EFBAdd,2)-$Q99),MIN(0,SUM($CS99:CW99)+MIN(0,ROUND($R99*EFBPercent+EFBAdd,2)-$Q99))))</f>
        <v>0</v>
      </c>
      <c r="DG99" s="192">
        <f>MAX(-CY99,MIN(0,ROUND($R99*EFBPercent+EFBAdd,2)-$Q99),MIN(0,SUM($CS99:CX99)+MIN(0,ROUND($R99*EFBPercent+EFBAdd,2)-$Q99)))</f>
        <v>0</v>
      </c>
      <c r="DI99" s="73">
        <f t="shared" si="80"/>
        <v>3610006.4400000004</v>
      </c>
      <c r="DJ99" s="73">
        <f t="shared" si="81"/>
        <v>52697.49</v>
      </c>
      <c r="DK99" s="73">
        <f t="shared" si="82"/>
        <v>0</v>
      </c>
      <c r="DL99" s="73">
        <f t="shared" si="83"/>
        <v>0</v>
      </c>
      <c r="DM99" s="73">
        <f t="shared" si="84"/>
        <v>0</v>
      </c>
      <c r="DN99" s="73">
        <f t="shared" si="85"/>
        <v>0</v>
      </c>
      <c r="DO99" s="73">
        <f t="shared" si="86"/>
        <v>0</v>
      </c>
      <c r="DP99" s="73"/>
      <c r="DQ99" s="73"/>
    </row>
    <row r="100" spans="1:121" ht="10.199999999999999" x14ac:dyDescent="0.2">
      <c r="A100" s="4" t="s">
        <v>573</v>
      </c>
      <c r="B100" s="188" t="s">
        <v>1086</v>
      </c>
      <c r="C100" s="189" t="s">
        <v>99</v>
      </c>
      <c r="D100" s="4">
        <v>2027</v>
      </c>
      <c r="E100" s="4" t="s">
        <v>700</v>
      </c>
      <c r="F100" s="4">
        <v>4</v>
      </c>
      <c r="G100" s="4" t="s">
        <v>686</v>
      </c>
      <c r="H100" s="4">
        <v>100</v>
      </c>
      <c r="I100" s="4">
        <v>0</v>
      </c>
      <c r="J100" s="5">
        <v>21324.28</v>
      </c>
      <c r="K100" s="5">
        <v>6.49</v>
      </c>
      <c r="L100" s="5">
        <v>270</v>
      </c>
      <c r="M100" s="5">
        <v>0</v>
      </c>
      <c r="N100" s="5">
        <v>4273864</v>
      </c>
      <c r="O100" s="5">
        <v>0</v>
      </c>
      <c r="P100" s="5">
        <v>16.77</v>
      </c>
      <c r="Q100" s="5">
        <v>0</v>
      </c>
      <c r="R100" s="5">
        <v>0</v>
      </c>
      <c r="S100" s="5">
        <v>0</v>
      </c>
      <c r="T100" s="5">
        <v>0</v>
      </c>
      <c r="U100" s="5">
        <v>0</v>
      </c>
      <c r="V100" s="5">
        <v>32776.980000000003</v>
      </c>
      <c r="W100" s="5">
        <v>25.77</v>
      </c>
      <c r="X100" s="5">
        <v>318.67</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f t="shared" si="94"/>
        <v>0</v>
      </c>
      <c r="AP100" s="5">
        <f t="shared" si="101"/>
        <v>0</v>
      </c>
      <c r="AQ100" s="5">
        <v>0</v>
      </c>
      <c r="AR100" s="5">
        <v>0</v>
      </c>
      <c r="AS100" s="5">
        <v>0</v>
      </c>
      <c r="AT100" s="5">
        <v>0</v>
      </c>
      <c r="AU100" s="5">
        <v>0</v>
      </c>
      <c r="AV100" s="5">
        <v>0</v>
      </c>
      <c r="AW100" s="199">
        <v>270</v>
      </c>
      <c r="AX100" s="199">
        <v>0</v>
      </c>
      <c r="AY100" s="199">
        <v>0</v>
      </c>
      <c r="AZ100" s="199">
        <v>0</v>
      </c>
      <c r="BA100" s="5">
        <v>0</v>
      </c>
      <c r="BB100" s="13">
        <v>0</v>
      </c>
      <c r="BC100" s="190">
        <f>MAX(ROUND(IF(F100&lt;4,IF(H100=0,(SUM(Y100:AD100)*Worksheet!$E$26+Y100*Worksheet!$E$27+AR100*Worksheet!$E$39)*-BaseRate,0)),2),MIN(0,-DI100))</f>
        <v>0</v>
      </c>
      <c r="BD100" s="190">
        <f>MAX(ROUND(IF(F100=4,0,IF(I100=0,0,ROUND(SUM(Y100:AD100)*Worksheet!$E$28,2)*-BaseRate)),2),MIN(0,-DI100-BC100))</f>
        <v>0</v>
      </c>
      <c r="BE100" s="130">
        <f t="shared" si="87"/>
        <v>0</v>
      </c>
      <c r="BF100" s="130">
        <f t="shared" si="88"/>
        <v>0</v>
      </c>
      <c r="BG100" s="73"/>
      <c r="BH100" s="191">
        <f t="shared" si="89"/>
        <v>0</v>
      </c>
      <c r="BI100" s="191">
        <f t="shared" si="90"/>
        <v>3285.71</v>
      </c>
      <c r="BJ100" s="232">
        <f>IFERROR(ROUND(IF(AND(BB100*1.12&lt;N100*60/1000,N100/CL100&lt;STVPP*0.2),(CL100*STVPP*0.2*Worksheet!$F$88/1000-BB100*1.12)*PropTaxAdj,IF(BB100*1.12&lt;N100*60/1000,(N100*60/1000-BB100*1.12)*PropTaxAdj,0)),2),0)</f>
        <v>0</v>
      </c>
      <c r="BK100" s="192">
        <f>ROUND(IF($F100=4,0,Y100*Worksheet!$E$16),2)</f>
        <v>0</v>
      </c>
      <c r="BL100" s="192">
        <f>ROUND(IF($F100=4,0,Z100*Worksheet!$E$17),2)</f>
        <v>0</v>
      </c>
      <c r="BM100" s="192">
        <f>ROUND(IF($F100=4,0,AA100*Worksheet!$E$18),2)</f>
        <v>0</v>
      </c>
      <c r="BN100" s="192">
        <f>ROUND(IF($F100=4,0,AB100*Worksheet!$E$19),2)</f>
        <v>0</v>
      </c>
      <c r="BO100" s="192">
        <f>ROUND(IF($F100=4,0,AC100*Worksheet!$E$20),2)</f>
        <v>0</v>
      </c>
      <c r="BP100" s="192">
        <f>ROUND(AD100*Worksheet!$E$21,2)</f>
        <v>0</v>
      </c>
      <c r="BQ100" s="192">
        <f t="shared" si="76"/>
        <v>0</v>
      </c>
      <c r="BR100" s="192">
        <f>ROUND(AD100*Worksheet!$E$25,2)</f>
        <v>0</v>
      </c>
      <c r="BS100" s="192">
        <f>ROUND(SUM(BQ100)*Worksheet!$E$26,2)</f>
        <v>0</v>
      </c>
      <c r="BT100" s="192">
        <f>ROUND(Y100*Worksheet!$E$27,2)</f>
        <v>0</v>
      </c>
      <c r="BU100" s="192">
        <f>ROUND(AO100*Worksheet!$E$29,2)</f>
        <v>0</v>
      </c>
      <c r="BV100" s="192">
        <f>ROUND(AP100*Worksheet!$E$30,2)</f>
        <v>0</v>
      </c>
      <c r="BW100" s="192">
        <f>ROUND(IF($I100&lt;&gt;0,$BQ100*Worksheet!$E$28,0),2)</f>
        <v>0</v>
      </c>
      <c r="BX100" s="192">
        <f>ROUND(AE100*Worksheet!$E$31,2)</f>
        <v>0</v>
      </c>
      <c r="BY100" s="192">
        <f>ROUND(AF100*Worksheet!$E$32,2)</f>
        <v>0</v>
      </c>
      <c r="BZ100" s="192">
        <f>ROUND(AG100*Worksheet!$E$33,2)</f>
        <v>0</v>
      </c>
      <c r="CA100" s="192">
        <f>ROUND(ROUND(AH100*BQ100,2)*Worksheet!$E$34,2)</f>
        <v>0</v>
      </c>
      <c r="CB100" s="192">
        <f>ROUND(AI100*Worksheet!$E$35,2)</f>
        <v>0</v>
      </c>
      <c r="CC100" s="192">
        <f>ROUND(AJ100*Worksheet!$E$36,2)</f>
        <v>0</v>
      </c>
      <c r="CD100" s="192">
        <f>ROUND(AQ100*Worksheet!$E$38,2)</f>
        <v>0</v>
      </c>
      <c r="CE100" s="192">
        <f>ROUND(AR100*Worksheet!$E$39,2)</f>
        <v>0</v>
      </c>
      <c r="CF100" s="192">
        <f>IF(AND(L100&gt;275,SUM(Y100:AD100)&lt;100),ROUND(SUM(Y100:AD100)*Worksheet!$E$41,2),0)</f>
        <v>0</v>
      </c>
      <c r="CG100" s="192">
        <f>IF(AND(L100&gt;600,SUM(Y100:AD100)&lt;50),ROUND((50-SUM(Y100:AD100))*(Worksheet!$E$41+1),2),0)</f>
        <v>0</v>
      </c>
      <c r="CH100" s="192">
        <f t="shared" si="77"/>
        <v>0</v>
      </c>
      <c r="CI100" s="116">
        <f t="shared" si="95"/>
        <v>0</v>
      </c>
      <c r="CJ100" s="116">
        <f t="shared" si="96"/>
        <v>0</v>
      </c>
      <c r="CK100" s="95">
        <f t="shared" si="91"/>
        <v>0</v>
      </c>
      <c r="CL100" s="116">
        <f t="shared" si="97"/>
        <v>0</v>
      </c>
      <c r="CM100" s="116">
        <f t="shared" si="98"/>
        <v>0</v>
      </c>
      <c r="CN100" s="116">
        <f t="shared" si="92"/>
        <v>0</v>
      </c>
      <c r="CO100" s="131">
        <f>ROUND(IF(F100=4,0,(MAX(ROUND(MAX((BI100*MIN(CL100,K100)*Worksheet!$D$126)+MAX(CL100-K100,0)*Worksheet!$F$50,SUM(J100)),2),SUM(CN100))-SUM(CN100))*MinAdj),2)</f>
        <v>0</v>
      </c>
      <c r="CP100" s="192">
        <f t="shared" si="93"/>
        <v>0</v>
      </c>
      <c r="CQ100" s="131">
        <f>IF(CL100=0,0,-MIN(CP100,MIN(CP100,ROUND(IF(ROUND(IF(CL100=0,0,N100/CL100),2)&lt;STVPP*0.2,STVPP*0.2*CL100*Worksheet!$F$88/1000,N100*Worksheet!$F$88/1000),2))))</f>
        <v>0</v>
      </c>
      <c r="CR100" s="193">
        <f>-MIN(SUM(CP100,CQ100),IF($P100=0,(ROUND(Worksheet!$E$77*S100,2)+ROUND(Worksheet!$E$78*T100,2)+ROUND(Worksheet!$E$79*U100,2)+ROUND(Worksheet!$E$80*V100,2)+ROUND(Worksheet!$E$81*W100,2)+ROUND(Worksheet!$E$82*X100,2)),(ROUND(ROUND(S100*ROUND((1-$O100/$P100),4),2)*Worksheet!$E$77,2)+ROUND(ROUND(T100*ROUND((1-$O100/$P100),4),2)*Worksheet!$E$78,2)+ROUND(ROUND(U100*ROUND((1-$O100/$P100),4),2)*Worksheet!$E$79,2)+ROUND(ROUND(V100*ROUND((1-$O100/$P100),4),2)*Worksheet!$E$80,2)+ROUND(ROUND(W100*ROUND((1-$O100/$P100),4),2)*Worksheet!$E$81,2)+ROUND(ROUND(X100*ROUND((1-$O100/$P100),4),2)*Worksheet!$E$82,2))))</f>
        <v>0</v>
      </c>
      <c r="CS100" s="192">
        <f t="shared" si="78"/>
        <v>0</v>
      </c>
      <c r="CT100" s="116">
        <f>ROUND(MIN(BA100,ROUND((ROUND(AS100*Worksheet!$E$104,2)+ROUND(AV100*Worksheet!$E$107,2)+ROUND(AT100*Worksheet!$E$105,2)+ROUND(AW100*Worksheet!$E$108,2)+ROUND(AU100*Worksheet!$E$106,2)+ROUND(AX100*Worksheet!$E$109,2)+ROUND(AY100*Worksheet!$E$110,2)+ROUND(AZ100*Worksheet!$E$111,2))*Worksheet!$D$114,2))*BaseRate,2)</f>
        <v>0</v>
      </c>
      <c r="CU100" s="121">
        <v>0</v>
      </c>
      <c r="CV100" s="121">
        <v>0</v>
      </c>
      <c r="CW100" s="121">
        <v>0</v>
      </c>
      <c r="CX100" s="121">
        <v>0</v>
      </c>
      <c r="CY100" s="121">
        <v>0</v>
      </c>
      <c r="DA100" s="192">
        <f t="shared" si="79"/>
        <v>0</v>
      </c>
      <c r="DB100" s="192">
        <f>MAX(-CT100,MIN(0,ROUND($R100*EFBPercent+EFBAdd,2)-$Q100),MIN(0,SUM($CS100:CS100)+MIN(0,ROUND($R100*EFBPercent+EFBAdd,2)-$Q100)))</f>
        <v>0</v>
      </c>
      <c r="DC100" s="192">
        <f>IF(CU100&lt;0,0,MAX(-CU100,MIN(0,ROUND($R100*EFBPercent+EFBAdd,2)-$Q100),MIN(0,SUM($CS100:CT100)+MIN(0,ROUND($R100*EFBPercent+EFBAdd,2)-$Q100))))</f>
        <v>0</v>
      </c>
      <c r="DD100" s="192">
        <f>IF(CV100&lt;0,0,MAX(-CV100,MIN(0,ROUND($R100*EFBPercent+EFBAdd,2)-$Q100),MIN(0,SUM($CS100:CU100)+MIN(0,ROUND($R100*EFBPercent+EFBAdd,2)-$Q100))))</f>
        <v>0</v>
      </c>
      <c r="DE100" s="192">
        <f>IF(CW100&lt;0,0,MAX(-CW100,MIN(0,ROUND($R100*EFBPercent+EFBAdd,2)-$Q100),MIN(0,SUM($CS100:CV100)+MIN(0,ROUND($R100*EFBPercent+EFBAdd,2)-$Q100))))</f>
        <v>0</v>
      </c>
      <c r="DF100" s="192">
        <f>IF(CX100&lt;0,0,MAX(-CX100,MIN(0,ROUND($R100*EFBPercent+EFBAdd,2)-$Q100),MIN(0,SUM($CS100:CW100)+MIN(0,ROUND($R100*EFBPercent+EFBAdd,2)-$Q100))))</f>
        <v>0</v>
      </c>
      <c r="DG100" s="192">
        <f>MAX(-CY100,MIN(0,ROUND($R100*EFBPercent+EFBAdd,2)-$Q100),MIN(0,SUM($CS100:CX100)+MIN(0,ROUND($R100*EFBPercent+EFBAdd,2)-$Q100)))</f>
        <v>0</v>
      </c>
      <c r="DI100" s="73">
        <f t="shared" si="80"/>
        <v>0</v>
      </c>
      <c r="DJ100" s="73">
        <f t="shared" si="81"/>
        <v>0</v>
      </c>
      <c r="DK100" s="73">
        <f t="shared" si="82"/>
        <v>0</v>
      </c>
      <c r="DL100" s="73">
        <f t="shared" si="83"/>
        <v>0</v>
      </c>
      <c r="DM100" s="73">
        <f t="shared" si="84"/>
        <v>0</v>
      </c>
      <c r="DN100" s="73">
        <f t="shared" si="85"/>
        <v>0</v>
      </c>
      <c r="DO100" s="73">
        <f t="shared" si="86"/>
        <v>0</v>
      </c>
      <c r="DP100" s="73"/>
      <c r="DQ100" s="73"/>
    </row>
    <row r="101" spans="1:121" ht="10.199999999999999" x14ac:dyDescent="0.2">
      <c r="A101" s="4" t="s">
        <v>574</v>
      </c>
      <c r="B101" s="188" t="s">
        <v>1086</v>
      </c>
      <c r="C101" s="189" t="s">
        <v>100</v>
      </c>
      <c r="D101" s="4">
        <v>2027</v>
      </c>
      <c r="E101" s="4" t="s">
        <v>414</v>
      </c>
      <c r="F101" s="4">
        <v>3</v>
      </c>
      <c r="G101" s="4" t="s">
        <v>686</v>
      </c>
      <c r="H101" s="4">
        <v>100</v>
      </c>
      <c r="I101" s="4">
        <v>0</v>
      </c>
      <c r="J101" s="5">
        <v>131671.19</v>
      </c>
      <c r="K101" s="5">
        <v>12.14</v>
      </c>
      <c r="L101" s="5">
        <v>223</v>
      </c>
      <c r="M101" s="5">
        <v>0</v>
      </c>
      <c r="N101" s="5">
        <v>5570755</v>
      </c>
      <c r="O101" s="5">
        <v>0</v>
      </c>
      <c r="P101" s="5">
        <v>22.48</v>
      </c>
      <c r="Q101" s="5">
        <v>0</v>
      </c>
      <c r="R101" s="5">
        <v>0</v>
      </c>
      <c r="S101" s="5">
        <v>0</v>
      </c>
      <c r="T101" s="5">
        <v>7945.3</v>
      </c>
      <c r="U101" s="5">
        <v>0</v>
      </c>
      <c r="V101" s="5">
        <v>54695.95</v>
      </c>
      <c r="W101" s="5">
        <v>299.79000000000002</v>
      </c>
      <c r="X101" s="5">
        <v>784.71</v>
      </c>
      <c r="Y101" s="5">
        <v>0</v>
      </c>
      <c r="Z101" s="5">
        <v>1</v>
      </c>
      <c r="AA101" s="5">
        <v>5</v>
      </c>
      <c r="AB101" s="5">
        <v>0</v>
      </c>
      <c r="AC101" s="5">
        <v>0</v>
      </c>
      <c r="AD101" s="5">
        <v>0</v>
      </c>
      <c r="AE101" s="5">
        <v>0</v>
      </c>
      <c r="AF101" s="5">
        <v>0</v>
      </c>
      <c r="AG101" s="5">
        <v>0</v>
      </c>
      <c r="AH101" s="5">
        <v>0</v>
      </c>
      <c r="AI101" s="5">
        <v>0</v>
      </c>
      <c r="AJ101" s="5">
        <v>0</v>
      </c>
      <c r="AK101" s="5">
        <v>0</v>
      </c>
      <c r="AL101" s="5">
        <v>6.25</v>
      </c>
      <c r="AM101" s="5">
        <v>0</v>
      </c>
      <c r="AN101" s="5">
        <v>6</v>
      </c>
      <c r="AO101" s="5">
        <f t="shared" si="94"/>
        <v>0.25</v>
      </c>
      <c r="AP101" s="5">
        <f t="shared" si="101"/>
        <v>0</v>
      </c>
      <c r="AQ101" s="5">
        <v>0</v>
      </c>
      <c r="AR101" s="5">
        <v>0</v>
      </c>
      <c r="AS101" s="5">
        <v>6956</v>
      </c>
      <c r="AT101" s="5">
        <v>0</v>
      </c>
      <c r="AU101" s="5">
        <v>296</v>
      </c>
      <c r="AV101" s="5">
        <v>0</v>
      </c>
      <c r="AW101" s="199">
        <v>223</v>
      </c>
      <c r="AX101" s="199">
        <v>1</v>
      </c>
      <c r="AY101" s="199">
        <v>0</v>
      </c>
      <c r="AZ101" s="199">
        <v>0</v>
      </c>
      <c r="BA101" s="5">
        <v>23975.51</v>
      </c>
      <c r="BB101" s="13">
        <v>72549.649999999994</v>
      </c>
      <c r="BC101" s="190">
        <f>MAX(ROUND(IF(F101&lt;4,IF(H101=0,(SUM(Y101:AD101)*Worksheet!$E$26+Y101*Worksheet!$E$27+AR101*Worksheet!$E$39)*-BaseRate,0)),2),MIN(0,-DI101))</f>
        <v>0</v>
      </c>
      <c r="BD101" s="190">
        <f>MAX(ROUND(IF(F101=4,0,IF(I101=0,0,ROUND(SUM(Y101:AD101)*Worksheet!$E$28,2)*-BaseRate)),2),MIN(0,-DI101-BC101))</f>
        <v>0</v>
      </c>
      <c r="BE101" s="130">
        <f t="shared" si="87"/>
        <v>0</v>
      </c>
      <c r="BF101" s="130">
        <f t="shared" si="88"/>
        <v>0</v>
      </c>
      <c r="BG101" s="73"/>
      <c r="BH101" s="191">
        <f t="shared" si="89"/>
        <v>492116.17</v>
      </c>
      <c r="BI101" s="191">
        <f t="shared" si="90"/>
        <v>10846.06</v>
      </c>
      <c r="BJ101" s="232">
        <f>IFERROR(ROUND(IF(AND(BB101*1.12&lt;N101*60/1000,N101/CL101&lt;STVPP*0.2),(CL101*STVPP*0.2*Worksheet!$F$88/1000-BB101*1.12)*PropTaxAdj,IF(BB101*1.12&lt;N101*60/1000,(N101*60/1000-BB101*1.12)*PropTaxAdj,0)),2),0)</f>
        <v>202391.75</v>
      </c>
      <c r="BK101" s="192">
        <f>ROUND(IF($F101=4,0,Y101*Worksheet!$E$16),2)</f>
        <v>0</v>
      </c>
      <c r="BL101" s="192">
        <f>ROUND(IF($F101=4,0,Z101*Worksheet!$E$17),2)</f>
        <v>1</v>
      </c>
      <c r="BM101" s="192">
        <f>ROUND(IF($F101=4,0,AA101*Worksheet!$E$18),2)</f>
        <v>5</v>
      </c>
      <c r="BN101" s="192">
        <f>ROUND(IF($F101=4,0,AB101*Worksheet!$E$19),2)</f>
        <v>0</v>
      </c>
      <c r="BO101" s="192">
        <f>ROUND(IF($F101=4,0,AC101*Worksheet!$E$20),2)</f>
        <v>0</v>
      </c>
      <c r="BP101" s="192">
        <f>ROUND(AD101*Worksheet!$E$21,2)</f>
        <v>0</v>
      </c>
      <c r="BQ101" s="192">
        <f t="shared" si="76"/>
        <v>6</v>
      </c>
      <c r="BR101" s="192">
        <f>ROUND(AD101*Worksheet!$E$25,2)</f>
        <v>0</v>
      </c>
      <c r="BS101" s="192">
        <f>ROUND(SUM(BQ101)*Worksheet!$E$26,2)</f>
        <v>0.53</v>
      </c>
      <c r="BT101" s="192">
        <f>ROUND(Y101*Worksheet!$E$27,2)</f>
        <v>0</v>
      </c>
      <c r="BU101" s="192">
        <f>ROUND(AO101*Worksheet!$E$29,2)</f>
        <v>0.25</v>
      </c>
      <c r="BV101" s="192">
        <f>ROUND(AP101*Worksheet!$E$30,2)</f>
        <v>0</v>
      </c>
      <c r="BW101" s="192">
        <f>ROUND(IF($I101&lt;&gt;0,$BQ101*Worksheet!$E$28,0),2)</f>
        <v>0</v>
      </c>
      <c r="BX101" s="192">
        <f>ROUND(AE101*Worksheet!$E$31,2)</f>
        <v>0</v>
      </c>
      <c r="BY101" s="192">
        <f>ROUND(AF101*Worksheet!$E$32,2)</f>
        <v>0</v>
      </c>
      <c r="BZ101" s="192">
        <f>ROUND(AG101*Worksheet!$E$33,2)</f>
        <v>0</v>
      </c>
      <c r="CA101" s="192">
        <f>ROUND(ROUND(AH101*BQ101,2)*Worksheet!$E$34,2)</f>
        <v>0</v>
      </c>
      <c r="CB101" s="192">
        <f>ROUND(AI101*Worksheet!$E$35,2)</f>
        <v>0</v>
      </c>
      <c r="CC101" s="192">
        <f>ROUND(AJ101*Worksheet!$E$36,2)</f>
        <v>0</v>
      </c>
      <c r="CD101" s="192">
        <f>ROUND(AQ101*Worksheet!$E$38,2)</f>
        <v>0</v>
      </c>
      <c r="CE101" s="192">
        <f>ROUND(AR101*Worksheet!$E$39,2)</f>
        <v>0</v>
      </c>
      <c r="CF101" s="192">
        <f>IF(AND(L101&gt;275,SUM(Y101:AD101)&lt;100),ROUND(SUM(Y101:AD101)*Worksheet!$E$41,2),0)</f>
        <v>0</v>
      </c>
      <c r="CG101" s="192">
        <f>IF(AND(L101&gt;600,SUM(Y101:AD101)&lt;50),ROUND((50-SUM(Y101:AD101))*(Worksheet!$E$41+1),2),0)</f>
        <v>0</v>
      </c>
      <c r="CH101" s="192">
        <f t="shared" si="77"/>
        <v>6.78</v>
      </c>
      <c r="CI101" s="116">
        <f t="shared" si="95"/>
        <v>0</v>
      </c>
      <c r="CJ101" s="116">
        <f t="shared" si="96"/>
        <v>6.78</v>
      </c>
      <c r="CK101" s="95">
        <f t="shared" si="91"/>
        <v>1.67</v>
      </c>
      <c r="CL101" s="116">
        <f t="shared" si="97"/>
        <v>11.32</v>
      </c>
      <c r="CM101" s="116">
        <f t="shared" si="98"/>
        <v>11.32</v>
      </c>
      <c r="CN101" s="116">
        <f t="shared" si="92"/>
        <v>131685.56</v>
      </c>
      <c r="CO101" s="131">
        <f>ROUND(IF(F101=4,0,(MAX(ROUND(MAX((BI101*MIN(CL101,K101)*Worksheet!$D$126)+MAX(CL101-K101,0)*Worksheet!$F$50,SUM(J101)),2),SUM(CN101))-SUM(CN101))*MinAdj),2)</f>
        <v>0</v>
      </c>
      <c r="CP101" s="192">
        <f t="shared" si="93"/>
        <v>131685.56</v>
      </c>
      <c r="CQ101" s="131">
        <f>IF(CL101=0,0,-MIN(CP101,MIN(CP101,ROUND(IF(ROUND(IF(CL101=0,0,N101/CL101),2)&lt;STVPP*0.2,STVPP*0.2*CL101*Worksheet!$F$88/1000,N101*Worksheet!$F$88/1000),2))))</f>
        <v>-131685.56</v>
      </c>
      <c r="CR101" s="193">
        <f>-MIN(SUM(CP101,CQ101),IF($P101=0,(ROUND(Worksheet!$E$77*S101,2)+ROUND(Worksheet!$E$78*T101,2)+ROUND(Worksheet!$E$79*U101,2)+ROUND(Worksheet!$E$80*V101,2)+ROUND(Worksheet!$E$81*W101,2)+ROUND(Worksheet!$E$82*X101,2)),(ROUND(ROUND(S101*ROUND((1-$O101/$P101),4),2)*Worksheet!$E$77,2)+ROUND(ROUND(T101*ROUND((1-$O101/$P101),4),2)*Worksheet!$E$78,2)+ROUND(ROUND(U101*ROUND((1-$O101/$P101),4),2)*Worksheet!$E$79,2)+ROUND(ROUND(V101*ROUND((1-$O101/$P101),4),2)*Worksheet!$E$80,2)+ROUND(ROUND(W101*ROUND((1-$O101/$P101),4),2)*Worksheet!$E$81,2)+ROUND(ROUND(X101*ROUND((1-$O101/$P101),4),2)*Worksheet!$E$82,2))))</f>
        <v>0</v>
      </c>
      <c r="CS101" s="192">
        <f t="shared" si="78"/>
        <v>0</v>
      </c>
      <c r="CT101" s="116">
        <f>ROUND(MIN(BA101,ROUND((ROUND(AS101*Worksheet!$E$104,2)+ROUND(AV101*Worksheet!$E$107,2)+ROUND(AT101*Worksheet!$E$105,2)+ROUND(AW101*Worksheet!$E$108,2)+ROUND(AU101*Worksheet!$E$106,2)+ROUND(AX101*Worksheet!$E$109,2)+ROUND(AY101*Worksheet!$E$110,2)+ROUND(AZ101*Worksheet!$E$111,2))*Worksheet!$D$114,2))*BaseRate,2)</f>
        <v>10237.040000000001</v>
      </c>
      <c r="CU101" s="121">
        <v>0</v>
      </c>
      <c r="CV101" s="121">
        <v>0</v>
      </c>
      <c r="CW101" s="121">
        <v>0</v>
      </c>
      <c r="CX101" s="121">
        <v>0</v>
      </c>
      <c r="CY101" s="121">
        <v>0</v>
      </c>
      <c r="DA101" s="192">
        <f t="shared" si="79"/>
        <v>0</v>
      </c>
      <c r="DB101" s="192">
        <f>MAX(-CT101,MIN(0,ROUND($R101*EFBPercent+EFBAdd,2)-$Q101),MIN(0,SUM($CS101:CS101)+MIN(0,ROUND($R101*EFBPercent+EFBAdd,2)-$Q101)))</f>
        <v>0</v>
      </c>
      <c r="DC101" s="192">
        <f>IF(CU101&lt;0,0,MAX(-CU101,MIN(0,ROUND($R101*EFBPercent+EFBAdd,2)-$Q101),MIN(0,SUM($CS101:CT101)+MIN(0,ROUND($R101*EFBPercent+EFBAdd,2)-$Q101))))</f>
        <v>0</v>
      </c>
      <c r="DD101" s="192">
        <f>IF(CV101&lt;0,0,MAX(-CV101,MIN(0,ROUND($R101*EFBPercent+EFBAdd,2)-$Q101),MIN(0,SUM($CS101:CU101)+MIN(0,ROUND($R101*EFBPercent+EFBAdd,2)-$Q101))))</f>
        <v>0</v>
      </c>
      <c r="DE101" s="192">
        <f>IF(CW101&lt;0,0,MAX(-CW101,MIN(0,ROUND($R101*EFBPercent+EFBAdd,2)-$Q101),MIN(0,SUM($CS101:CV101)+MIN(0,ROUND($R101*EFBPercent+EFBAdd,2)-$Q101))))</f>
        <v>0</v>
      </c>
      <c r="DF101" s="192">
        <f>IF(CX101&lt;0,0,MAX(-CX101,MIN(0,ROUND($R101*EFBPercent+EFBAdd,2)-$Q101),MIN(0,SUM($CS101:CW101)+MIN(0,ROUND($R101*EFBPercent+EFBAdd,2)-$Q101))))</f>
        <v>0</v>
      </c>
      <c r="DG101" s="192">
        <f>MAX(-CY101,MIN(0,ROUND($R101*EFBPercent+EFBAdd,2)-$Q101),MIN(0,SUM($CS101:CX101)+MIN(0,ROUND($R101*EFBPercent+EFBAdd,2)-$Q101)))</f>
        <v>0</v>
      </c>
      <c r="DI101" s="73">
        <f t="shared" si="80"/>
        <v>0</v>
      </c>
      <c r="DJ101" s="73">
        <f t="shared" si="81"/>
        <v>10237.040000000001</v>
      </c>
      <c r="DK101" s="73">
        <f t="shared" si="82"/>
        <v>0</v>
      </c>
      <c r="DL101" s="73">
        <f t="shared" si="83"/>
        <v>0</v>
      </c>
      <c r="DM101" s="73">
        <f t="shared" si="84"/>
        <v>0</v>
      </c>
      <c r="DN101" s="73">
        <f t="shared" si="85"/>
        <v>0</v>
      </c>
      <c r="DO101" s="73">
        <f t="shared" si="86"/>
        <v>0</v>
      </c>
      <c r="DP101" s="73"/>
      <c r="DQ101" s="73"/>
    </row>
    <row r="102" spans="1:121" ht="10.199999999999999" x14ac:dyDescent="0.2">
      <c r="A102" s="4" t="s">
        <v>575</v>
      </c>
      <c r="B102" s="188">
        <v>1090</v>
      </c>
      <c r="C102" s="189" t="s">
        <v>101</v>
      </c>
      <c r="D102" s="4">
        <v>2027</v>
      </c>
      <c r="E102" s="4" t="s">
        <v>415</v>
      </c>
      <c r="F102" s="4">
        <v>1</v>
      </c>
      <c r="G102" s="4" t="s">
        <v>686</v>
      </c>
      <c r="H102" s="4">
        <v>100</v>
      </c>
      <c r="I102" s="4" t="s">
        <v>1152</v>
      </c>
      <c r="J102" s="5">
        <v>2195755.1100000003</v>
      </c>
      <c r="K102" s="5">
        <v>298.79000000000002</v>
      </c>
      <c r="L102" s="5">
        <v>395</v>
      </c>
      <c r="M102" s="5">
        <v>0</v>
      </c>
      <c r="N102" s="5">
        <v>13033755</v>
      </c>
      <c r="O102" s="5">
        <v>0</v>
      </c>
      <c r="P102" s="5">
        <v>3.61</v>
      </c>
      <c r="Q102" s="5">
        <v>0</v>
      </c>
      <c r="R102" s="5">
        <v>0</v>
      </c>
      <c r="S102" s="5">
        <v>0</v>
      </c>
      <c r="T102" s="5">
        <v>391322.02</v>
      </c>
      <c r="U102" s="5">
        <v>15886.05</v>
      </c>
      <c r="V102" s="5">
        <v>6077.53</v>
      </c>
      <c r="W102" s="5">
        <v>852.21999999999991</v>
      </c>
      <c r="X102" s="5">
        <v>1251.8</v>
      </c>
      <c r="Y102" s="5">
        <v>0.09</v>
      </c>
      <c r="Z102" s="5">
        <v>21</v>
      </c>
      <c r="AA102" s="5">
        <v>83</v>
      </c>
      <c r="AB102" s="5">
        <v>24</v>
      </c>
      <c r="AC102" s="5">
        <v>70</v>
      </c>
      <c r="AD102" s="5">
        <v>0</v>
      </c>
      <c r="AE102" s="5">
        <v>1.67</v>
      </c>
      <c r="AF102" s="5">
        <v>0.99</v>
      </c>
      <c r="AG102" s="5">
        <v>1.98</v>
      </c>
      <c r="AH102" s="5">
        <v>0.96599999999999997</v>
      </c>
      <c r="AI102" s="5">
        <v>0</v>
      </c>
      <c r="AJ102" s="5">
        <v>0</v>
      </c>
      <c r="AK102" s="5">
        <v>0</v>
      </c>
      <c r="AL102" s="5">
        <v>208.1</v>
      </c>
      <c r="AM102" s="5">
        <v>0</v>
      </c>
      <c r="AN102" s="5">
        <v>198</v>
      </c>
      <c r="AO102" s="5">
        <f t="shared" si="94"/>
        <v>10.099999999999994</v>
      </c>
      <c r="AP102" s="5">
        <f t="shared" si="101"/>
        <v>0</v>
      </c>
      <c r="AQ102" s="5">
        <v>0</v>
      </c>
      <c r="AR102" s="5">
        <v>0</v>
      </c>
      <c r="AS102" s="5">
        <v>0</v>
      </c>
      <c r="AT102" s="5">
        <v>47168</v>
      </c>
      <c r="AU102" s="5">
        <v>0</v>
      </c>
      <c r="AV102" s="5">
        <v>1069</v>
      </c>
      <c r="AW102" s="199">
        <v>395</v>
      </c>
      <c r="AX102" s="199">
        <v>1</v>
      </c>
      <c r="AY102" s="199">
        <v>7290</v>
      </c>
      <c r="AZ102" s="199">
        <v>0</v>
      </c>
      <c r="BA102" s="5">
        <v>135156.53</v>
      </c>
      <c r="BB102" s="13">
        <v>761620.8</v>
      </c>
      <c r="BC102" s="190">
        <f>MAX(ROUND(IF(F102&lt;4,IF(H102=0,(SUM(Y102:AD102)*Worksheet!$E$26+Y102*Worksheet!$E$27+AR102*Worksheet!$E$39)*-BaseRate,0)),2),MIN(0,-DI102))</f>
        <v>0</v>
      </c>
      <c r="BD102" s="190">
        <f>MAX(ROUND(IF(F102=4,0,IF(I102=0,0,ROUND(SUM(Y102:AD102)*Worksheet!$E$28,2)*-BaseRate)),2),MIN(0,-DI102-BC102))</f>
        <v>-4653.2</v>
      </c>
      <c r="BE102" s="130">
        <f t="shared" si="87"/>
        <v>0</v>
      </c>
      <c r="BF102" s="130">
        <f t="shared" si="88"/>
        <v>1412</v>
      </c>
      <c r="BG102" s="73"/>
      <c r="BH102" s="191">
        <f t="shared" si="89"/>
        <v>43567.839999999997</v>
      </c>
      <c r="BI102" s="191">
        <f t="shared" si="90"/>
        <v>7348.82</v>
      </c>
      <c r="BJ102" s="232">
        <f>IFERROR(ROUND(IF(AND(BB102*1.12&lt;N102*60/1000,N102/CL102&lt;STVPP*0.2),(CL102*STVPP*0.2*Worksheet!$F$88/1000-BB102*1.12)*PropTaxAdj,IF(BB102*1.12&lt;N102*60/1000,(N102*60/1000-BB102*1.12)*PropTaxAdj,0)),2),0)</f>
        <v>0</v>
      </c>
      <c r="BK102" s="192">
        <f>ROUND(IF($F102=4,0,Y102*Worksheet!$E$16),2)</f>
        <v>0.09</v>
      </c>
      <c r="BL102" s="192">
        <f>ROUND(IF($F102=4,0,Z102*Worksheet!$E$17),2)</f>
        <v>21</v>
      </c>
      <c r="BM102" s="192">
        <f>ROUND(IF($F102=4,0,AA102*Worksheet!$E$18),2)</f>
        <v>83</v>
      </c>
      <c r="BN102" s="192">
        <f>ROUND(IF($F102=4,0,AB102*Worksheet!$E$19),2)</f>
        <v>24</v>
      </c>
      <c r="BO102" s="192">
        <f>ROUND(IF($F102=4,0,AC102*Worksheet!$E$20),2)</f>
        <v>70</v>
      </c>
      <c r="BP102" s="192">
        <f>ROUND(AD102*Worksheet!$E$21,2)</f>
        <v>0</v>
      </c>
      <c r="BQ102" s="192">
        <f t="shared" si="76"/>
        <v>198.09</v>
      </c>
      <c r="BR102" s="192">
        <f>ROUND(AD102*Worksheet!$E$25,2)</f>
        <v>0</v>
      </c>
      <c r="BS102" s="192">
        <f>ROUND(SUM(BQ102)*Worksheet!$E$26,2)</f>
        <v>17.43</v>
      </c>
      <c r="BT102" s="192">
        <f>ROUND(Y102*Worksheet!$E$27,2)</f>
        <v>0.02</v>
      </c>
      <c r="BU102" s="192">
        <f>ROUND(AO102*Worksheet!$E$29,2)</f>
        <v>10.1</v>
      </c>
      <c r="BV102" s="192">
        <f>ROUND(AP102*Worksheet!$E$30,2)</f>
        <v>0</v>
      </c>
      <c r="BW102" s="192">
        <f>ROUND(IF($I102&lt;&gt;0,$BQ102*Worksheet!$E$28,0),2)</f>
        <v>0.4</v>
      </c>
      <c r="BX102" s="192">
        <f>ROUND(AE102*Worksheet!$E$31,2)</f>
        <v>0.67</v>
      </c>
      <c r="BY102" s="192">
        <f>ROUND(AF102*Worksheet!$E$32,2)</f>
        <v>0.28000000000000003</v>
      </c>
      <c r="BZ102" s="192">
        <f>ROUND(AG102*Worksheet!$E$33,2)</f>
        <v>0.14000000000000001</v>
      </c>
      <c r="CA102" s="192">
        <f>ROUND(ROUND(AH102*BQ102,2)*Worksheet!$E$34,2)</f>
        <v>4.78</v>
      </c>
      <c r="CB102" s="192">
        <f>ROUND(AI102*Worksheet!$E$35,2)</f>
        <v>0</v>
      </c>
      <c r="CC102" s="192">
        <f>ROUND(AJ102*Worksheet!$E$36,2)</f>
        <v>0</v>
      </c>
      <c r="CD102" s="192">
        <f>ROUND(AQ102*Worksheet!$E$38,2)</f>
        <v>0</v>
      </c>
      <c r="CE102" s="192">
        <f>ROUND(AR102*Worksheet!$E$39,2)</f>
        <v>0</v>
      </c>
      <c r="CF102" s="192">
        <f>IF(AND(L102&gt;275,SUM(Y102:AD102)&lt;100),ROUND(SUM(Y102:AD102)*Worksheet!$E$41,2),0)</f>
        <v>0</v>
      </c>
      <c r="CG102" s="192">
        <f>IF(AND(L102&gt;600,SUM(Y102:AD102)&lt;50),ROUND((50-SUM(Y102:AD102))*(Worksheet!$E$41+1),2),0)</f>
        <v>0</v>
      </c>
      <c r="CH102" s="192">
        <f t="shared" si="77"/>
        <v>231.91</v>
      </c>
      <c r="CI102" s="116">
        <f t="shared" si="95"/>
        <v>0</v>
      </c>
      <c r="CJ102" s="116">
        <f t="shared" si="96"/>
        <v>231.91</v>
      </c>
      <c r="CK102" s="95">
        <f t="shared" si="91"/>
        <v>1.29</v>
      </c>
      <c r="CL102" s="116">
        <f t="shared" si="97"/>
        <v>299.16000000000003</v>
      </c>
      <c r="CM102" s="116">
        <f t="shared" si="98"/>
        <v>299.16000000000003</v>
      </c>
      <c r="CN102" s="116">
        <f t="shared" si="92"/>
        <v>3480128.28</v>
      </c>
      <c r="CO102" s="131">
        <f>ROUND(IF(F102=4,0,(MAX(ROUND(MAX((BI102*MIN(CL102,K102)*Worksheet!$D$126)+MAX(CL102-K102,0)*Worksheet!$F$50,SUM(J102)),2),SUM(CN102))-SUM(CN102))*MinAdj),2)</f>
        <v>0</v>
      </c>
      <c r="CP102" s="192">
        <f t="shared" si="93"/>
        <v>3480128.28</v>
      </c>
      <c r="CQ102" s="131">
        <f>IF(CL102=0,0,-MIN(CP102,MIN(CP102,ROUND(IF(ROUND(IF(CL102=0,0,N102/CL102),2)&lt;STVPP*0.2,STVPP*0.2*CL102*Worksheet!$F$88/1000,N102*Worksheet!$F$88/1000),2))))</f>
        <v>-782025.3</v>
      </c>
      <c r="CR102" s="193">
        <f>-MIN(SUM(CP102,CQ102),IF($P102=0,(ROUND(Worksheet!$E$77*S102,2)+ROUND(Worksheet!$E$78*T102,2)+ROUND(Worksheet!$E$79*U102,2)+ROUND(Worksheet!$E$80*V102,2)+ROUND(Worksheet!$E$81*W102,2)+ROUND(Worksheet!$E$82*X102,2)),(ROUND(ROUND(S102*ROUND((1-$O102/$P102),4),2)*Worksheet!$E$77,2)+ROUND(ROUND(T102*ROUND((1-$O102/$P102),4),2)*Worksheet!$E$78,2)+ROUND(ROUND(U102*ROUND((1-$O102/$P102),4),2)*Worksheet!$E$79,2)+ROUND(ROUND(V102*ROUND((1-$O102/$P102),4),2)*Worksheet!$E$80,2)+ROUND(ROUND(W102*ROUND((1-$O102/$P102),4),2)*Worksheet!$E$81,2)+ROUND(ROUND(X102*ROUND((1-$O102/$P102),4),2)*Worksheet!$E$82,2))))</f>
        <v>-311542.23</v>
      </c>
      <c r="CS102" s="192">
        <f t="shared" si="78"/>
        <v>2386560.7499999995</v>
      </c>
      <c r="CT102" s="116">
        <f>ROUND(MIN(BA102,ROUND((ROUND(AS102*Worksheet!$E$104,2)+ROUND(AV102*Worksheet!$E$107,2)+ROUND(AT102*Worksheet!$E$105,2)+ROUND(AW102*Worksheet!$E$108,2)+ROUND(AU102*Worksheet!$E$106,2)+ROUND(AX102*Worksheet!$E$109,2)+ROUND(AY102*Worksheet!$E$110,2)+ROUND(AZ102*Worksheet!$E$111,2))*Worksheet!$D$114,2))*BaseRate,2)</f>
        <v>75265.509999999995</v>
      </c>
      <c r="CU102" s="121">
        <v>0</v>
      </c>
      <c r="CV102" s="121">
        <v>0</v>
      </c>
      <c r="CW102" s="121">
        <v>0</v>
      </c>
      <c r="CX102" s="121">
        <v>0</v>
      </c>
      <c r="CY102" s="121">
        <v>0</v>
      </c>
      <c r="DA102" s="192">
        <f t="shared" si="79"/>
        <v>0</v>
      </c>
      <c r="DB102" s="192">
        <f>MAX(-CT102,MIN(0,ROUND($R102*EFBPercent+EFBAdd,2)-$Q102),MIN(0,SUM($CS102:CS102)+MIN(0,ROUND($R102*EFBPercent+EFBAdd,2)-$Q102)))</f>
        <v>0</v>
      </c>
      <c r="DC102" s="192">
        <f>IF(CU102&lt;0,0,MAX(-CU102,MIN(0,ROUND($R102*EFBPercent+EFBAdd,2)-$Q102),MIN(0,SUM($CS102:CT102)+MIN(0,ROUND($R102*EFBPercent+EFBAdd,2)-$Q102))))</f>
        <v>0</v>
      </c>
      <c r="DD102" s="192">
        <f>IF(CV102&lt;0,0,MAX(-CV102,MIN(0,ROUND($R102*EFBPercent+EFBAdd,2)-$Q102),MIN(0,SUM($CS102:CU102)+MIN(0,ROUND($R102*EFBPercent+EFBAdd,2)-$Q102))))</f>
        <v>0</v>
      </c>
      <c r="DE102" s="192">
        <f>IF(CW102&lt;0,0,MAX(-CW102,MIN(0,ROUND($R102*EFBPercent+EFBAdd,2)-$Q102),MIN(0,SUM($CS102:CV102)+MIN(0,ROUND($R102*EFBPercent+EFBAdd,2)-$Q102))))</f>
        <v>0</v>
      </c>
      <c r="DF102" s="192">
        <f>IF(CX102&lt;0,0,MAX(-CX102,MIN(0,ROUND($R102*EFBPercent+EFBAdd,2)-$Q102),MIN(0,SUM($CS102:CW102)+MIN(0,ROUND($R102*EFBPercent+EFBAdd,2)-$Q102))))</f>
        <v>0</v>
      </c>
      <c r="DG102" s="192">
        <f>MAX(-CY102,MIN(0,ROUND($R102*EFBPercent+EFBAdd,2)-$Q102),MIN(0,SUM($CS102:CX102)+MIN(0,ROUND($R102*EFBPercent+EFBAdd,2)-$Q102)))</f>
        <v>0</v>
      </c>
      <c r="DI102" s="73">
        <f t="shared" si="80"/>
        <v>2386560.7499999995</v>
      </c>
      <c r="DJ102" s="73">
        <f t="shared" si="81"/>
        <v>75265.509999999995</v>
      </c>
      <c r="DK102" s="73">
        <f t="shared" si="82"/>
        <v>0</v>
      </c>
      <c r="DL102" s="73">
        <f t="shared" si="83"/>
        <v>0</v>
      </c>
      <c r="DM102" s="73">
        <f t="shared" si="84"/>
        <v>0</v>
      </c>
      <c r="DN102" s="73">
        <f t="shared" si="85"/>
        <v>0</v>
      </c>
      <c r="DO102" s="73">
        <f t="shared" si="86"/>
        <v>0</v>
      </c>
      <c r="DP102" s="73"/>
      <c r="DQ102" s="73"/>
    </row>
    <row r="103" spans="1:121" ht="10.199999999999999" x14ac:dyDescent="0.2">
      <c r="A103" s="4" t="s">
        <v>576</v>
      </c>
      <c r="B103" s="188">
        <v>1174</v>
      </c>
      <c r="C103" s="189" t="s">
        <v>102</v>
      </c>
      <c r="D103" s="4">
        <v>2027</v>
      </c>
      <c r="E103" s="4" t="s">
        <v>965</v>
      </c>
      <c r="F103" s="4">
        <v>1</v>
      </c>
      <c r="G103" s="4" t="s">
        <v>684</v>
      </c>
      <c r="H103" s="4">
        <v>100</v>
      </c>
      <c r="I103" s="4" t="s">
        <v>1091</v>
      </c>
      <c r="J103" s="5">
        <v>2856084.14</v>
      </c>
      <c r="K103" s="5">
        <v>296.08999999999997</v>
      </c>
      <c r="L103" s="5">
        <v>322.55</v>
      </c>
      <c r="M103" s="5">
        <v>0</v>
      </c>
      <c r="N103" s="5">
        <v>14190091</v>
      </c>
      <c r="O103" s="5">
        <v>45.98</v>
      </c>
      <c r="P103" s="5">
        <v>136.72999999999999</v>
      </c>
      <c r="Q103" s="5">
        <v>0</v>
      </c>
      <c r="R103" s="5">
        <v>0</v>
      </c>
      <c r="S103" s="5">
        <v>19757.419999999998</v>
      </c>
      <c r="T103" s="5">
        <v>73524.25</v>
      </c>
      <c r="U103" s="5">
        <v>53.23</v>
      </c>
      <c r="V103" s="5">
        <v>35345.040000000001</v>
      </c>
      <c r="W103" s="5">
        <v>8591.26</v>
      </c>
      <c r="X103" s="5">
        <v>26099.07</v>
      </c>
      <c r="Y103" s="5">
        <v>0.17</v>
      </c>
      <c r="Z103" s="5">
        <v>14</v>
      </c>
      <c r="AA103" s="5">
        <v>131</v>
      </c>
      <c r="AB103" s="5">
        <v>36</v>
      </c>
      <c r="AC103" s="5">
        <v>74</v>
      </c>
      <c r="AD103" s="5">
        <v>0</v>
      </c>
      <c r="AE103" s="5">
        <v>0</v>
      </c>
      <c r="AF103" s="5">
        <v>0</v>
      </c>
      <c r="AG103" s="5">
        <v>1</v>
      </c>
      <c r="AH103" s="5">
        <v>0.17</v>
      </c>
      <c r="AI103" s="5">
        <v>0</v>
      </c>
      <c r="AJ103" s="5">
        <v>0</v>
      </c>
      <c r="AK103" s="5">
        <v>0</v>
      </c>
      <c r="AL103" s="5">
        <v>252.22</v>
      </c>
      <c r="AM103" s="5">
        <v>0</v>
      </c>
      <c r="AN103" s="5">
        <v>255</v>
      </c>
      <c r="AO103" s="5">
        <f t="shared" si="94"/>
        <v>0</v>
      </c>
      <c r="AP103" s="5">
        <f t="shared" si="101"/>
        <v>0</v>
      </c>
      <c r="AQ103" s="5">
        <v>1.69</v>
      </c>
      <c r="AR103" s="5">
        <v>0.06</v>
      </c>
      <c r="AS103" s="5">
        <v>0</v>
      </c>
      <c r="AT103" s="5">
        <v>77400</v>
      </c>
      <c r="AU103" s="5">
        <v>0</v>
      </c>
      <c r="AV103" s="5">
        <v>1376</v>
      </c>
      <c r="AW103" s="199">
        <v>322.55</v>
      </c>
      <c r="AX103" s="199">
        <v>1</v>
      </c>
      <c r="AY103" s="199">
        <v>0</v>
      </c>
      <c r="AZ103" s="199">
        <v>0</v>
      </c>
      <c r="BA103" s="5">
        <v>229521.56</v>
      </c>
      <c r="BB103" s="13">
        <v>826352.7</v>
      </c>
      <c r="BC103" s="190">
        <f>MAX(ROUND(IF(F103&lt;4,IF(H103=0,(SUM(Y103:AD103)*Worksheet!$E$26+Y103*Worksheet!$E$27+AR103*Worksheet!$E$39)*-BaseRate,0)),2),MIN(0,-DI103))</f>
        <v>0</v>
      </c>
      <c r="BD103" s="190">
        <f>MAX(ROUND(IF(F103=4,0,IF(I103=0,0,ROUND(SUM(Y103:AD103)*Worksheet!$E$28,2)*-BaseRate)),2),MIN(0,-DI103-BC103))</f>
        <v>-5932.83</v>
      </c>
      <c r="BE103" s="130">
        <f t="shared" si="87"/>
        <v>0</v>
      </c>
      <c r="BF103" s="130">
        <f t="shared" si="88"/>
        <v>1403</v>
      </c>
      <c r="BG103" s="73"/>
      <c r="BH103" s="191">
        <f t="shared" si="89"/>
        <v>42174.67</v>
      </c>
      <c r="BI103" s="191">
        <f t="shared" si="90"/>
        <v>9646</v>
      </c>
      <c r="BJ103" s="232">
        <f>IFERROR(ROUND(IF(AND(BB103*1.12&lt;N103*60/1000,N103/CL103&lt;STVPP*0.2),(CL103*STVPP*0.2*Worksheet!$F$88/1000-BB103*1.12)*PropTaxAdj,IF(BB103*1.12&lt;N103*60/1000,(N103*60/1000-BB103*1.12)*PropTaxAdj,0)),2),0)</f>
        <v>0</v>
      </c>
      <c r="BK103" s="192">
        <f>ROUND(IF($F103=4,0,Y103*Worksheet!$E$16),2)</f>
        <v>0.17</v>
      </c>
      <c r="BL103" s="192">
        <f>ROUND(IF($F103=4,0,Z103*Worksheet!$E$17),2)</f>
        <v>14</v>
      </c>
      <c r="BM103" s="192">
        <f>ROUND(IF($F103=4,0,AA103*Worksheet!$E$18),2)</f>
        <v>131</v>
      </c>
      <c r="BN103" s="192">
        <f>ROUND(IF($F103=4,0,AB103*Worksheet!$E$19),2)</f>
        <v>36</v>
      </c>
      <c r="BO103" s="192">
        <f>ROUND(IF($F103=4,0,AC103*Worksheet!$E$20),2)</f>
        <v>74</v>
      </c>
      <c r="BP103" s="192">
        <f>ROUND(AD103*Worksheet!$E$21,2)</f>
        <v>0</v>
      </c>
      <c r="BQ103" s="192">
        <f t="shared" si="76"/>
        <v>255.17</v>
      </c>
      <c r="BR103" s="192">
        <f>ROUND(AD103*Worksheet!$E$25,2)</f>
        <v>0</v>
      </c>
      <c r="BS103" s="192">
        <f>ROUND(SUM(BQ103)*Worksheet!$E$26,2)</f>
        <v>22.45</v>
      </c>
      <c r="BT103" s="192">
        <f>ROUND(Y103*Worksheet!$E$27,2)</f>
        <v>0.03</v>
      </c>
      <c r="BU103" s="192">
        <f>ROUND(AO103*Worksheet!$E$29,2)</f>
        <v>0</v>
      </c>
      <c r="BV103" s="192">
        <f>ROUND(AP103*Worksheet!$E$30,2)</f>
        <v>0</v>
      </c>
      <c r="BW103" s="192">
        <f>ROUND(IF($I103&lt;&gt;0,$BQ103*Worksheet!$E$28,0),2)</f>
        <v>0.51</v>
      </c>
      <c r="BX103" s="192">
        <f>ROUND(AE103*Worksheet!$E$31,2)</f>
        <v>0</v>
      </c>
      <c r="BY103" s="192">
        <f>ROUND(AF103*Worksheet!$E$32,2)</f>
        <v>0</v>
      </c>
      <c r="BZ103" s="192">
        <f>ROUND(AG103*Worksheet!$E$33,2)</f>
        <v>7.0000000000000007E-2</v>
      </c>
      <c r="CA103" s="192">
        <f>ROUND(ROUND(AH103*BQ103,2)*Worksheet!$E$34,2)</f>
        <v>1.08</v>
      </c>
      <c r="CB103" s="192">
        <f>ROUND(AI103*Worksheet!$E$35,2)</f>
        <v>0</v>
      </c>
      <c r="CC103" s="192">
        <f>ROUND(AJ103*Worksheet!$E$36,2)</f>
        <v>0</v>
      </c>
      <c r="CD103" s="192">
        <f>ROUND(AQ103*Worksheet!$E$38,2)</f>
        <v>1.01</v>
      </c>
      <c r="CE103" s="192">
        <f>ROUND(AR103*Worksheet!$E$39,2)</f>
        <v>0.06</v>
      </c>
      <c r="CF103" s="192">
        <f>IF(AND(L103&gt;275,SUM(Y103:AD103)&lt;100),ROUND(SUM(Y103:AD103)*Worksheet!$E$41,2),0)</f>
        <v>0</v>
      </c>
      <c r="CG103" s="192">
        <f>IF(AND(L103&gt;600,SUM(Y103:AD103)&lt;50),ROUND((50-SUM(Y103:AD103))*(Worksheet!$E$41+1),2),0)</f>
        <v>0</v>
      </c>
      <c r="CH103" s="192">
        <f t="shared" si="77"/>
        <v>280.37999999999994</v>
      </c>
      <c r="CI103" s="116">
        <f t="shared" si="95"/>
        <v>0</v>
      </c>
      <c r="CJ103" s="116">
        <f t="shared" si="96"/>
        <v>280.37999999999994</v>
      </c>
      <c r="CK103" s="95">
        <f t="shared" si="91"/>
        <v>1.2</v>
      </c>
      <c r="CL103" s="116">
        <f t="shared" si="97"/>
        <v>336.46</v>
      </c>
      <c r="CM103" s="116">
        <f t="shared" si="98"/>
        <v>336.46</v>
      </c>
      <c r="CN103" s="116">
        <f t="shared" si="92"/>
        <v>3914039.18</v>
      </c>
      <c r="CO103" s="131">
        <f>ROUND(IF(F103=4,0,(MAX(ROUND(MAX((BI103*MIN(CL103,K103)*Worksheet!$D$126)+MAX(CL103-K103,0)*Worksheet!$F$50,SUM(J103)),2),SUM(CN103))-SUM(CN103))*MinAdj),2)</f>
        <v>0</v>
      </c>
      <c r="CP103" s="192">
        <f t="shared" si="93"/>
        <v>3914039.18</v>
      </c>
      <c r="CQ103" s="131">
        <f>IF(CL103=0,0,-MIN(CP103,MIN(CP103,ROUND(IF(ROUND(IF(CL103=0,0,N103/CL103),2)&lt;STVPP*0.2,STVPP*0.2*CL103*Worksheet!$F$88/1000,N103*Worksheet!$F$88/1000),2))))</f>
        <v>-851405.46</v>
      </c>
      <c r="CR103" s="193">
        <f>-MIN(SUM(CP103,CQ103),IF($P103=0,(ROUND(Worksheet!$E$77*S103,2)+ROUND(Worksheet!$E$78*T103,2)+ROUND(Worksheet!$E$79*U103,2)+ROUND(Worksheet!$E$80*V103,2)+ROUND(Worksheet!$E$81*W103,2)+ROUND(Worksheet!$E$82*X103,2)),(ROUND(ROUND(S103*ROUND((1-$O103/$P103),4),2)*Worksheet!$E$77,2)+ROUND(ROUND(T103*ROUND((1-$O103/$P103),4),2)*Worksheet!$E$78,2)+ROUND(ROUND(U103*ROUND((1-$O103/$P103),4),2)*Worksheet!$E$79,2)+ROUND(ROUND(V103*ROUND((1-$O103/$P103),4),2)*Worksheet!$E$80,2)+ROUND(ROUND(W103*ROUND((1-$O103/$P103),4),2)*Worksheet!$E$81,2)+ROUND(ROUND(X103*ROUND((1-$O103/$P103),4),2)*Worksheet!$E$82,2))))</f>
        <v>-81321.640000000014</v>
      </c>
      <c r="CS103" s="192">
        <f t="shared" si="78"/>
        <v>2981312.08</v>
      </c>
      <c r="CT103" s="116">
        <f>ROUND(MIN(BA103,ROUND((ROUND(AS103*Worksheet!$E$104,2)+ROUND(AV103*Worksheet!$E$107,2)+ROUND(AT103*Worksheet!$E$105,2)+ROUND(AW103*Worksheet!$E$108,2)+ROUND(AU103*Worksheet!$E$106,2)+ROUND(AX103*Worksheet!$E$109,2)+ROUND(AY103*Worksheet!$E$110,2)+ROUND(AZ103*Worksheet!$E$111,2))*Worksheet!$D$114,2))*BaseRate,2)</f>
        <v>110862.49</v>
      </c>
      <c r="CU103" s="121">
        <v>0</v>
      </c>
      <c r="CV103" s="121">
        <v>0</v>
      </c>
      <c r="CW103" s="121">
        <v>0</v>
      </c>
      <c r="CX103" s="121">
        <v>0</v>
      </c>
      <c r="CY103" s="121">
        <v>0</v>
      </c>
      <c r="DA103" s="192">
        <f t="shared" si="79"/>
        <v>0</v>
      </c>
      <c r="DB103" s="192">
        <f>MAX(-CT103,MIN(0,ROUND($R103*EFBPercent+EFBAdd,2)-$Q103),MIN(0,SUM($CS103:CS103)+MIN(0,ROUND($R103*EFBPercent+EFBAdd,2)-$Q103)))</f>
        <v>0</v>
      </c>
      <c r="DC103" s="192">
        <f>IF(CU103&lt;0,0,MAX(-CU103,MIN(0,ROUND($R103*EFBPercent+EFBAdd,2)-$Q103),MIN(0,SUM($CS103:CT103)+MIN(0,ROUND($R103*EFBPercent+EFBAdd,2)-$Q103))))</f>
        <v>0</v>
      </c>
      <c r="DD103" s="192">
        <f>IF(CV103&lt;0,0,MAX(-CV103,MIN(0,ROUND($R103*EFBPercent+EFBAdd,2)-$Q103),MIN(0,SUM($CS103:CU103)+MIN(0,ROUND($R103*EFBPercent+EFBAdd,2)-$Q103))))</f>
        <v>0</v>
      </c>
      <c r="DE103" s="192">
        <f>IF(CW103&lt;0,0,MAX(-CW103,MIN(0,ROUND($R103*EFBPercent+EFBAdd,2)-$Q103),MIN(0,SUM($CS103:CV103)+MIN(0,ROUND($R103*EFBPercent+EFBAdd,2)-$Q103))))</f>
        <v>0</v>
      </c>
      <c r="DF103" s="192">
        <f>IF(CX103&lt;0,0,MAX(-CX103,MIN(0,ROUND($R103*EFBPercent+EFBAdd,2)-$Q103),MIN(0,SUM($CS103:CW103)+MIN(0,ROUND($R103*EFBPercent+EFBAdd,2)-$Q103))))</f>
        <v>0</v>
      </c>
      <c r="DG103" s="192">
        <f>MAX(-CY103,MIN(0,ROUND($R103*EFBPercent+EFBAdd,2)-$Q103),MIN(0,SUM($CS103:CX103)+MIN(0,ROUND($R103*EFBPercent+EFBAdd,2)-$Q103)))</f>
        <v>0</v>
      </c>
      <c r="DI103" s="73">
        <f t="shared" si="80"/>
        <v>2981312.08</v>
      </c>
      <c r="DJ103" s="73">
        <f t="shared" si="81"/>
        <v>110862.49</v>
      </c>
      <c r="DK103" s="73">
        <f t="shared" si="82"/>
        <v>0</v>
      </c>
      <c r="DL103" s="73">
        <f t="shared" si="83"/>
        <v>0</v>
      </c>
      <c r="DM103" s="73">
        <f t="shared" si="84"/>
        <v>0</v>
      </c>
      <c r="DN103" s="73">
        <f t="shared" si="85"/>
        <v>0</v>
      </c>
      <c r="DO103" s="73">
        <f t="shared" si="86"/>
        <v>0</v>
      </c>
      <c r="DP103" s="73"/>
      <c r="DQ103" s="73"/>
    </row>
    <row r="104" spans="1:121" ht="10.199999999999999" x14ac:dyDescent="0.2">
      <c r="A104" s="4" t="s">
        <v>577</v>
      </c>
      <c r="B104" s="188">
        <v>1169</v>
      </c>
      <c r="C104" s="189" t="s">
        <v>103</v>
      </c>
      <c r="D104" s="4">
        <v>2027</v>
      </c>
      <c r="E104" s="4" t="s">
        <v>416</v>
      </c>
      <c r="F104" s="4">
        <v>1</v>
      </c>
      <c r="G104" s="4" t="s">
        <v>684</v>
      </c>
      <c r="H104" s="4">
        <v>100</v>
      </c>
      <c r="I104" s="4" t="s">
        <v>1091</v>
      </c>
      <c r="J104" s="5">
        <v>3604710.1900000004</v>
      </c>
      <c r="K104" s="5">
        <v>373.7</v>
      </c>
      <c r="L104" s="5">
        <v>244.2</v>
      </c>
      <c r="M104" s="5">
        <v>0</v>
      </c>
      <c r="N104" s="5">
        <v>16812800</v>
      </c>
      <c r="O104" s="5">
        <v>34.520000000000003</v>
      </c>
      <c r="P104" s="5">
        <v>135.54</v>
      </c>
      <c r="Q104" s="5">
        <v>0</v>
      </c>
      <c r="R104" s="5">
        <v>0</v>
      </c>
      <c r="S104" s="5">
        <v>0</v>
      </c>
      <c r="T104" s="5">
        <v>238133.39</v>
      </c>
      <c r="U104" s="5">
        <v>134.56</v>
      </c>
      <c r="V104" s="5">
        <v>25948.309999999998</v>
      </c>
      <c r="W104" s="5">
        <v>7914.3700000000008</v>
      </c>
      <c r="X104" s="5">
        <v>16064.82</v>
      </c>
      <c r="Y104" s="5">
        <v>8.2799999999999994</v>
      </c>
      <c r="Z104" s="5">
        <v>27</v>
      </c>
      <c r="AA104" s="5">
        <v>172</v>
      </c>
      <c r="AB104" s="5">
        <v>58</v>
      </c>
      <c r="AC104" s="5">
        <v>100</v>
      </c>
      <c r="AD104" s="5">
        <v>0</v>
      </c>
      <c r="AE104" s="5">
        <v>0</v>
      </c>
      <c r="AF104" s="5">
        <v>1</v>
      </c>
      <c r="AG104" s="5">
        <v>2</v>
      </c>
      <c r="AH104" s="5">
        <v>0.19400000000000001</v>
      </c>
      <c r="AI104" s="5">
        <v>0</v>
      </c>
      <c r="AJ104" s="5">
        <v>0</v>
      </c>
      <c r="AK104" s="5">
        <v>0</v>
      </c>
      <c r="AL104" s="5">
        <v>352.99</v>
      </c>
      <c r="AM104" s="5">
        <v>13.610000000000014</v>
      </c>
      <c r="AN104" s="5">
        <v>357</v>
      </c>
      <c r="AO104" s="5">
        <f t="shared" si="94"/>
        <v>0</v>
      </c>
      <c r="AP104" s="5">
        <f t="shared" si="101"/>
        <v>0</v>
      </c>
      <c r="AQ104" s="5">
        <v>6.37</v>
      </c>
      <c r="AR104" s="5">
        <v>7.0000000000000007E-2</v>
      </c>
      <c r="AS104" s="5">
        <v>31500</v>
      </c>
      <c r="AT104" s="5">
        <v>86450</v>
      </c>
      <c r="AU104" s="5">
        <v>350</v>
      </c>
      <c r="AV104" s="5">
        <v>5950</v>
      </c>
      <c r="AW104" s="199">
        <v>244.2</v>
      </c>
      <c r="AX104" s="199">
        <v>1</v>
      </c>
      <c r="AY104" s="199">
        <v>0</v>
      </c>
      <c r="AZ104" s="199">
        <v>0</v>
      </c>
      <c r="BA104" s="5">
        <v>273675.81</v>
      </c>
      <c r="BB104" s="13">
        <v>973231.92</v>
      </c>
      <c r="BC104" s="190">
        <f>MAX(ROUND(IF(F104&lt;4,IF(H104=0,(SUM(Y104:AD104)*Worksheet!$E$26+Y104*Worksheet!$E$27+AR104*Worksheet!$E$39)*-BaseRate,0)),2),MIN(0,-DI104))</f>
        <v>0</v>
      </c>
      <c r="BD104" s="190">
        <f>MAX(ROUND(IF(F104=4,0,IF(I104=0,0,ROUND(SUM(Y104:AD104)*Worksheet!$E$28,2)*-BaseRate)),2),MIN(0,-DI104-BC104))</f>
        <v>-8492.09</v>
      </c>
      <c r="BE104" s="130">
        <f t="shared" si="87"/>
        <v>0</v>
      </c>
      <c r="BF104" s="130">
        <f t="shared" si="88"/>
        <v>1403</v>
      </c>
      <c r="BG104" s="73"/>
      <c r="BH104" s="191">
        <f t="shared" si="89"/>
        <v>39101.35</v>
      </c>
      <c r="BI104" s="191">
        <f t="shared" si="90"/>
        <v>9646</v>
      </c>
      <c r="BJ104" s="232">
        <f>IFERROR(ROUND(IF(AND(BB104*1.12&lt;N104*60/1000,N104/CL104&lt;STVPP*0.2),(CL104*STVPP*0.2*Worksheet!$F$88/1000-BB104*1.12)*PropTaxAdj,IF(BB104*1.12&lt;N104*60/1000,(N104*60/1000-BB104*1.12)*PropTaxAdj,0)),2),0)</f>
        <v>0</v>
      </c>
      <c r="BK104" s="192">
        <f>ROUND(IF($F104=4,0,Y104*Worksheet!$E$16),2)</f>
        <v>8.2799999999999994</v>
      </c>
      <c r="BL104" s="192">
        <f>ROUND(IF($F104=4,0,Z104*Worksheet!$E$17),2)</f>
        <v>27</v>
      </c>
      <c r="BM104" s="192">
        <f>ROUND(IF($F104=4,0,AA104*Worksheet!$E$18),2)</f>
        <v>172</v>
      </c>
      <c r="BN104" s="192">
        <f>ROUND(IF($F104=4,0,AB104*Worksheet!$E$19),2)</f>
        <v>58</v>
      </c>
      <c r="BO104" s="192">
        <f>ROUND(IF($F104=4,0,AC104*Worksheet!$E$20),2)</f>
        <v>100</v>
      </c>
      <c r="BP104" s="192">
        <f>ROUND(AD104*Worksheet!$E$21,2)</f>
        <v>0</v>
      </c>
      <c r="BQ104" s="192">
        <f t="shared" si="76"/>
        <v>365.28</v>
      </c>
      <c r="BR104" s="192">
        <f>ROUND(AD104*Worksheet!$E$25,2)</f>
        <v>0</v>
      </c>
      <c r="BS104" s="192">
        <f>ROUND(SUM(BQ104)*Worksheet!$E$26,2)</f>
        <v>32.14</v>
      </c>
      <c r="BT104" s="192">
        <f>ROUND(Y104*Worksheet!$E$27,2)</f>
        <v>1.41</v>
      </c>
      <c r="BU104" s="192">
        <f>ROUND(AO104*Worksheet!$E$29,2)</f>
        <v>0</v>
      </c>
      <c r="BV104" s="192">
        <f>ROUND(AP104*Worksheet!$E$30,2)</f>
        <v>0</v>
      </c>
      <c r="BW104" s="192">
        <f>ROUND(IF($I104&lt;&gt;0,$BQ104*Worksheet!$E$28,0),2)</f>
        <v>0.73</v>
      </c>
      <c r="BX104" s="192">
        <f>ROUND(AE104*Worksheet!$E$31,2)</f>
        <v>0</v>
      </c>
      <c r="BY104" s="192">
        <f>ROUND(AF104*Worksheet!$E$32,2)</f>
        <v>0.28000000000000003</v>
      </c>
      <c r="BZ104" s="192">
        <f>ROUND(AG104*Worksheet!$E$33,2)</f>
        <v>0.14000000000000001</v>
      </c>
      <c r="CA104" s="192">
        <f>ROUND(ROUND(AH104*BQ104,2)*Worksheet!$E$34,2)</f>
        <v>1.77</v>
      </c>
      <c r="CB104" s="192">
        <f>ROUND(AI104*Worksheet!$E$35,2)</f>
        <v>0</v>
      </c>
      <c r="CC104" s="192">
        <f>ROUND(AJ104*Worksheet!$E$36,2)</f>
        <v>0</v>
      </c>
      <c r="CD104" s="192">
        <f>ROUND(AQ104*Worksheet!$E$38,2)</f>
        <v>3.82</v>
      </c>
      <c r="CE104" s="192">
        <f>ROUND(AR104*Worksheet!$E$39,2)</f>
        <v>7.0000000000000007E-2</v>
      </c>
      <c r="CF104" s="192">
        <f>IF(AND(L104&gt;275,SUM(Y104:AD104)&lt;100),ROUND(SUM(Y104:AD104)*Worksheet!$E$41,2),0)</f>
        <v>0</v>
      </c>
      <c r="CG104" s="192">
        <f>IF(AND(L104&gt;600,SUM(Y104:AD104)&lt;50),ROUND((50-SUM(Y104:AD104))*(Worksheet!$E$41+1),2),0)</f>
        <v>0</v>
      </c>
      <c r="CH104" s="192">
        <f t="shared" si="77"/>
        <v>405.63999999999993</v>
      </c>
      <c r="CI104" s="116">
        <f t="shared" si="95"/>
        <v>0</v>
      </c>
      <c r="CJ104" s="116">
        <f t="shared" si="96"/>
        <v>405.63999999999993</v>
      </c>
      <c r="CK104" s="95">
        <f t="shared" si="91"/>
        <v>1.06</v>
      </c>
      <c r="CL104" s="116">
        <f t="shared" si="97"/>
        <v>429.98</v>
      </c>
      <c r="CM104" s="116">
        <f t="shared" si="98"/>
        <v>429.98</v>
      </c>
      <c r="CN104" s="116">
        <f t="shared" si="92"/>
        <v>5001957.34</v>
      </c>
      <c r="CO104" s="131">
        <f>ROUND(IF(F104=4,0,(MAX(ROUND(MAX((BI104*MIN(CL104,K104)*Worksheet!$D$126)+MAX(CL104-K104,0)*Worksheet!$F$50,SUM(J104)),2),SUM(CN104))-SUM(CN104))*MinAdj),2)</f>
        <v>0</v>
      </c>
      <c r="CP104" s="192">
        <f t="shared" si="93"/>
        <v>5001957.34</v>
      </c>
      <c r="CQ104" s="131">
        <f>IF(CL104=0,0,-MIN(CP104,MIN(CP104,ROUND(IF(ROUND(IF(CL104=0,0,N104/CL104),2)&lt;STVPP*0.2,STVPP*0.2*CL104*Worksheet!$F$88/1000,N104*Worksheet!$F$88/1000),2))))</f>
        <v>-1008768</v>
      </c>
      <c r="CR104" s="193">
        <f>-MIN(SUM(CP104,CQ104),IF($P104=0,(ROUND(Worksheet!$E$77*S104,2)+ROUND(Worksheet!$E$78*T104,2)+ROUND(Worksheet!$E$79*U104,2)+ROUND(Worksheet!$E$80*V104,2)+ROUND(Worksheet!$E$81*W104,2)+ROUND(Worksheet!$E$82*X104,2)),(ROUND(ROUND(S104*ROUND((1-$O104/$P104),4),2)*Worksheet!$E$77,2)+ROUND(ROUND(T104*ROUND((1-$O104/$P104),4),2)*Worksheet!$E$78,2)+ROUND(ROUND(U104*ROUND((1-$O104/$P104),4),2)*Worksheet!$E$79,2)+ROUND(ROUND(V104*ROUND((1-$O104/$P104),4),2)*Worksheet!$E$80,2)+ROUND(ROUND(W104*ROUND((1-$O104/$P104),4),2)*Worksheet!$E$81,2)+ROUND(ROUND(X104*ROUND((1-$O104/$P104),4),2)*Worksheet!$E$82,2))))</f>
        <v>-161094.06999999998</v>
      </c>
      <c r="CS104" s="192">
        <f t="shared" si="78"/>
        <v>3832095.27</v>
      </c>
      <c r="CT104" s="116">
        <f>ROUND(MIN(BA104,ROUND((ROUND(AS104*Worksheet!$E$104,2)+ROUND(AV104*Worksheet!$E$107,2)+ROUND(AT104*Worksheet!$E$105,2)+ROUND(AW104*Worksheet!$E$108,2)+ROUND(AU104*Worksheet!$E$106,2)+ROUND(AX104*Worksheet!$E$109,2)+ROUND(AY104*Worksheet!$E$110,2)+ROUND(AZ104*Worksheet!$E$111,2))*Worksheet!$D$114,2))*BaseRate,2)</f>
        <v>187989.28</v>
      </c>
      <c r="CU104" s="121">
        <v>0</v>
      </c>
      <c r="CV104" s="121">
        <v>0</v>
      </c>
      <c r="CW104" s="121">
        <v>0</v>
      </c>
      <c r="CX104" s="121">
        <v>0</v>
      </c>
      <c r="CY104" s="121">
        <v>0</v>
      </c>
      <c r="DA104" s="192">
        <f t="shared" si="79"/>
        <v>0</v>
      </c>
      <c r="DB104" s="192">
        <f>MAX(-CT104,MIN(0,ROUND($R104*EFBPercent+EFBAdd,2)-$Q104),MIN(0,SUM($CS104:CS104)+MIN(0,ROUND($R104*EFBPercent+EFBAdd,2)-$Q104)))</f>
        <v>0</v>
      </c>
      <c r="DC104" s="192">
        <f>IF(CU104&lt;0,0,MAX(-CU104,MIN(0,ROUND($R104*EFBPercent+EFBAdd,2)-$Q104),MIN(0,SUM($CS104:CT104)+MIN(0,ROUND($R104*EFBPercent+EFBAdd,2)-$Q104))))</f>
        <v>0</v>
      </c>
      <c r="DD104" s="192">
        <f>IF(CV104&lt;0,0,MAX(-CV104,MIN(0,ROUND($R104*EFBPercent+EFBAdd,2)-$Q104),MIN(0,SUM($CS104:CU104)+MIN(0,ROUND($R104*EFBPercent+EFBAdd,2)-$Q104))))</f>
        <v>0</v>
      </c>
      <c r="DE104" s="192">
        <f>IF(CW104&lt;0,0,MAX(-CW104,MIN(0,ROUND($R104*EFBPercent+EFBAdd,2)-$Q104),MIN(0,SUM($CS104:CV104)+MIN(0,ROUND($R104*EFBPercent+EFBAdd,2)-$Q104))))</f>
        <v>0</v>
      </c>
      <c r="DF104" s="192">
        <f>IF(CX104&lt;0,0,MAX(-CX104,MIN(0,ROUND($R104*EFBPercent+EFBAdd,2)-$Q104),MIN(0,SUM($CS104:CW104)+MIN(0,ROUND($R104*EFBPercent+EFBAdd,2)-$Q104))))</f>
        <v>0</v>
      </c>
      <c r="DG104" s="192">
        <f>MAX(-CY104,MIN(0,ROUND($R104*EFBPercent+EFBAdd,2)-$Q104),MIN(0,SUM($CS104:CX104)+MIN(0,ROUND($R104*EFBPercent+EFBAdd,2)-$Q104)))</f>
        <v>0</v>
      </c>
      <c r="DI104" s="73">
        <f t="shared" si="80"/>
        <v>3832095.27</v>
      </c>
      <c r="DJ104" s="73">
        <f t="shared" si="81"/>
        <v>187989.28</v>
      </c>
      <c r="DK104" s="73">
        <f t="shared" si="82"/>
        <v>0</v>
      </c>
      <c r="DL104" s="73">
        <f t="shared" si="83"/>
        <v>0</v>
      </c>
      <c r="DM104" s="73">
        <f t="shared" si="84"/>
        <v>0</v>
      </c>
      <c r="DN104" s="73">
        <f t="shared" si="85"/>
        <v>0</v>
      </c>
      <c r="DO104" s="73">
        <f t="shared" si="86"/>
        <v>0</v>
      </c>
      <c r="DP104" s="73"/>
      <c r="DQ104" s="73"/>
    </row>
    <row r="105" spans="1:121" ht="10.199999999999999" x14ac:dyDescent="0.2">
      <c r="A105" s="4" t="s">
        <v>578</v>
      </c>
      <c r="B105" s="188">
        <v>1161</v>
      </c>
      <c r="C105" s="189" t="s">
        <v>104</v>
      </c>
      <c r="D105" s="4">
        <v>2027</v>
      </c>
      <c r="E105" s="4" t="s">
        <v>417</v>
      </c>
      <c r="F105" s="4">
        <v>1</v>
      </c>
      <c r="G105" s="4" t="s">
        <v>684</v>
      </c>
      <c r="H105" s="4">
        <v>100</v>
      </c>
      <c r="I105" s="4" t="s">
        <v>1091</v>
      </c>
      <c r="J105" s="5">
        <v>3088174.0699999994</v>
      </c>
      <c r="K105" s="5">
        <v>280.24</v>
      </c>
      <c r="L105" s="5">
        <v>199.39</v>
      </c>
      <c r="M105" s="5">
        <v>0</v>
      </c>
      <c r="N105" s="5">
        <v>16964826</v>
      </c>
      <c r="O105" s="5">
        <v>0</v>
      </c>
      <c r="P105" s="5">
        <v>92.05</v>
      </c>
      <c r="Q105" s="5">
        <v>0</v>
      </c>
      <c r="R105" s="5">
        <v>0</v>
      </c>
      <c r="S105" s="5">
        <v>0</v>
      </c>
      <c r="T105" s="5">
        <v>122470.1</v>
      </c>
      <c r="U105" s="5">
        <v>2435.3000000000002</v>
      </c>
      <c r="V105" s="5">
        <v>8386.4599999999991</v>
      </c>
      <c r="W105" s="5">
        <v>32732.9</v>
      </c>
      <c r="X105" s="5">
        <v>23434.09</v>
      </c>
      <c r="Y105" s="5">
        <v>0</v>
      </c>
      <c r="Z105" s="5">
        <v>10</v>
      </c>
      <c r="AA105" s="5">
        <v>65</v>
      </c>
      <c r="AB105" s="5">
        <v>33</v>
      </c>
      <c r="AC105" s="5">
        <v>57</v>
      </c>
      <c r="AD105" s="5">
        <v>0</v>
      </c>
      <c r="AE105" s="5">
        <v>0</v>
      </c>
      <c r="AF105" s="5">
        <v>0</v>
      </c>
      <c r="AG105" s="5">
        <v>0</v>
      </c>
      <c r="AH105" s="5">
        <v>0.249</v>
      </c>
      <c r="AI105" s="5">
        <v>0</v>
      </c>
      <c r="AJ105" s="5">
        <v>0</v>
      </c>
      <c r="AK105" s="5">
        <v>0</v>
      </c>
      <c r="AL105" s="5">
        <v>163.71</v>
      </c>
      <c r="AM105" s="5">
        <v>0</v>
      </c>
      <c r="AN105" s="5">
        <v>165</v>
      </c>
      <c r="AO105" s="5">
        <f t="shared" si="94"/>
        <v>0</v>
      </c>
      <c r="AP105" s="5">
        <f t="shared" si="101"/>
        <v>0</v>
      </c>
      <c r="AQ105" s="5">
        <v>0.63</v>
      </c>
      <c r="AR105" s="5">
        <v>0</v>
      </c>
      <c r="AS105" s="5">
        <v>13542</v>
      </c>
      <c r="AT105" s="5">
        <v>16268</v>
      </c>
      <c r="AU105" s="5">
        <v>242</v>
      </c>
      <c r="AV105" s="5">
        <v>332</v>
      </c>
      <c r="AW105" s="199">
        <v>199.39</v>
      </c>
      <c r="AX105" s="199">
        <v>1</v>
      </c>
      <c r="AY105" s="199">
        <v>0</v>
      </c>
      <c r="AZ105" s="199">
        <v>0</v>
      </c>
      <c r="BA105" s="5">
        <v>139489.46</v>
      </c>
      <c r="BB105" s="13">
        <v>972044.64</v>
      </c>
      <c r="BC105" s="190">
        <f>MAX(ROUND(IF(F105&lt;4,IF(H105=0,(SUM(Y105:AD105)*Worksheet!$E$26+Y105*Worksheet!$E$27+AR105*Worksheet!$E$39)*-BaseRate,0)),2),MIN(0,-DI105))</f>
        <v>0</v>
      </c>
      <c r="BD105" s="190">
        <f>MAX(ROUND(IF(F105=4,0,IF(I105=0,0,ROUND(SUM(Y105:AD105)*Worksheet!$E$28,2)*-BaseRate)),2),MIN(0,-DI105-BC105))</f>
        <v>-3838.89</v>
      </c>
      <c r="BE105" s="130">
        <f t="shared" si="87"/>
        <v>0</v>
      </c>
      <c r="BF105" s="130">
        <f t="shared" si="88"/>
        <v>1403</v>
      </c>
      <c r="BG105" s="73"/>
      <c r="BH105" s="191">
        <f t="shared" si="89"/>
        <v>68321.16</v>
      </c>
      <c r="BI105" s="191">
        <f t="shared" si="90"/>
        <v>11019.75</v>
      </c>
      <c r="BJ105" s="232">
        <f>IFERROR(ROUND(IF(AND(BB105*1.12&lt;N105*60/1000,N105/CL105&lt;STVPP*0.2),(CL105*STVPP*0.2*Worksheet!$F$88/1000-BB105*1.12)*PropTaxAdj,IF(BB105*1.12&lt;N105*60/1000,(N105*60/1000-BB105*1.12)*PropTaxAdj,0)),2),0)</f>
        <v>0</v>
      </c>
      <c r="BK105" s="192">
        <f>ROUND(IF($F105=4,0,Y105*Worksheet!$E$16),2)</f>
        <v>0</v>
      </c>
      <c r="BL105" s="192">
        <f>ROUND(IF($F105=4,0,Z105*Worksheet!$E$17),2)</f>
        <v>10</v>
      </c>
      <c r="BM105" s="192">
        <f>ROUND(IF($F105=4,0,AA105*Worksheet!$E$18),2)</f>
        <v>65</v>
      </c>
      <c r="BN105" s="192">
        <f>ROUND(IF($F105=4,0,AB105*Worksheet!$E$19),2)</f>
        <v>33</v>
      </c>
      <c r="BO105" s="192">
        <f>ROUND(IF($F105=4,0,AC105*Worksheet!$E$20),2)</f>
        <v>57</v>
      </c>
      <c r="BP105" s="192">
        <f>ROUND(AD105*Worksheet!$E$21,2)</f>
        <v>0</v>
      </c>
      <c r="BQ105" s="192">
        <f t="shared" si="76"/>
        <v>165</v>
      </c>
      <c r="BR105" s="192">
        <f>ROUND(AD105*Worksheet!$E$25,2)</f>
        <v>0</v>
      </c>
      <c r="BS105" s="192">
        <f>ROUND(SUM(BQ105)*Worksheet!$E$26,2)</f>
        <v>14.52</v>
      </c>
      <c r="BT105" s="192">
        <f>ROUND(Y105*Worksheet!$E$27,2)</f>
        <v>0</v>
      </c>
      <c r="BU105" s="192">
        <f>ROUND(AO105*Worksheet!$E$29,2)</f>
        <v>0</v>
      </c>
      <c r="BV105" s="192">
        <f>ROUND(AP105*Worksheet!$E$30,2)</f>
        <v>0</v>
      </c>
      <c r="BW105" s="192">
        <f>ROUND(IF($I105&lt;&gt;0,$BQ105*Worksheet!$E$28,0),2)</f>
        <v>0.33</v>
      </c>
      <c r="BX105" s="192">
        <f>ROUND(AE105*Worksheet!$E$31,2)</f>
        <v>0</v>
      </c>
      <c r="BY105" s="192">
        <f>ROUND(AF105*Worksheet!$E$32,2)</f>
        <v>0</v>
      </c>
      <c r="BZ105" s="192">
        <f>ROUND(AG105*Worksheet!$E$33,2)</f>
        <v>0</v>
      </c>
      <c r="CA105" s="192">
        <f>ROUND(ROUND(AH105*BQ105,2)*Worksheet!$E$34,2)</f>
        <v>1.03</v>
      </c>
      <c r="CB105" s="192">
        <f>ROUND(AI105*Worksheet!$E$35,2)</f>
        <v>0</v>
      </c>
      <c r="CC105" s="192">
        <f>ROUND(AJ105*Worksheet!$E$36,2)</f>
        <v>0</v>
      </c>
      <c r="CD105" s="192">
        <f>ROUND(AQ105*Worksheet!$E$38,2)</f>
        <v>0.38</v>
      </c>
      <c r="CE105" s="192">
        <f>ROUND(AR105*Worksheet!$E$39,2)</f>
        <v>0</v>
      </c>
      <c r="CF105" s="192">
        <f>IF(AND(L105&gt;275,SUM(Y105:AD105)&lt;100),ROUND(SUM(Y105:AD105)*Worksheet!$E$41,2),0)</f>
        <v>0</v>
      </c>
      <c r="CG105" s="192">
        <f>IF(AND(L105&gt;600,SUM(Y105:AD105)&lt;50),ROUND((50-SUM(Y105:AD105))*(Worksheet!$E$41+1),2),0)</f>
        <v>0</v>
      </c>
      <c r="CH105" s="192">
        <f t="shared" si="77"/>
        <v>181.26000000000002</v>
      </c>
      <c r="CI105" s="116">
        <f t="shared" si="95"/>
        <v>0</v>
      </c>
      <c r="CJ105" s="116">
        <f t="shared" si="96"/>
        <v>181.26000000000002</v>
      </c>
      <c r="CK105" s="95">
        <f t="shared" si="91"/>
        <v>1.3698999999999999</v>
      </c>
      <c r="CL105" s="116">
        <f t="shared" si="97"/>
        <v>248.31</v>
      </c>
      <c r="CM105" s="116">
        <f t="shared" si="98"/>
        <v>248.31</v>
      </c>
      <c r="CN105" s="116">
        <f t="shared" si="92"/>
        <v>2888590.23</v>
      </c>
      <c r="CO105" s="131">
        <f>ROUND(IF(F105=4,0,(MAX(ROUND(MAX((BI105*MIN(CL105,K105)*Worksheet!$D$126)+MAX(CL105-K105,0)*Worksheet!$F$50,SUM(J105)),2),SUM(CN105))-SUM(CN105))*MinAdj),2)</f>
        <v>29937.58</v>
      </c>
      <c r="CP105" s="192">
        <f t="shared" si="93"/>
        <v>2918527.81</v>
      </c>
      <c r="CQ105" s="131">
        <f>IF(CL105=0,0,-MIN(CP105,MIN(CP105,ROUND(IF(ROUND(IF(CL105=0,0,N105/CL105),2)&lt;STVPP*0.2,STVPP*0.2*CL105*Worksheet!$F$88/1000,N105*Worksheet!$F$88/1000),2))))</f>
        <v>-1017889.56</v>
      </c>
      <c r="CR105" s="193">
        <f>-MIN(SUM(CP105,CQ105),IF($P105=0,(ROUND(Worksheet!$E$77*S105,2)+ROUND(Worksheet!$E$78*T105,2)+ROUND(Worksheet!$E$79*U105,2)+ROUND(Worksheet!$E$80*V105,2)+ROUND(Worksheet!$E$81*W105,2)+ROUND(Worksheet!$E$82*X105,2)),(ROUND(ROUND(S105*ROUND((1-$O105/$P105),4),2)*Worksheet!$E$77,2)+ROUND(ROUND(T105*ROUND((1-$O105/$P105),4),2)*Worksheet!$E$78,2)+ROUND(ROUND(U105*ROUND((1-$O105/$P105),4),2)*Worksheet!$E$79,2)+ROUND(ROUND(V105*ROUND((1-$O105/$P105),4),2)*Worksheet!$E$80,2)+ROUND(ROUND(W105*ROUND((1-$O105/$P105),4),2)*Worksheet!$E$81,2)+ROUND(ROUND(X105*ROUND((1-$O105/$P105),4),2)*Worksheet!$E$82,2))))</f>
        <v>-142094.16</v>
      </c>
      <c r="CS105" s="192">
        <f t="shared" si="78"/>
        <v>1758544.09</v>
      </c>
      <c r="CT105" s="116">
        <f>ROUND(MIN(BA105,ROUND((ROUND(AS105*Worksheet!$E$104,2)+ROUND(AV105*Worksheet!$E$107,2)+ROUND(AT105*Worksheet!$E$105,2)+ROUND(AW105*Worksheet!$E$108,2)+ROUND(AU105*Worksheet!$E$106,2)+ROUND(AX105*Worksheet!$E$109,2)+ROUND(AY105*Worksheet!$E$110,2)+ROUND(AZ105*Worksheet!$E$111,2))*Worksheet!$D$114,2))*BaseRate,2)</f>
        <v>35713.31</v>
      </c>
      <c r="CU105" s="121">
        <v>0</v>
      </c>
      <c r="CV105" s="121">
        <v>0</v>
      </c>
      <c r="CW105" s="121">
        <v>0</v>
      </c>
      <c r="CX105" s="121">
        <v>0</v>
      </c>
      <c r="CY105" s="121">
        <v>0</v>
      </c>
      <c r="DA105" s="192">
        <f t="shared" si="79"/>
        <v>0</v>
      </c>
      <c r="DB105" s="192">
        <f>MAX(-CT105,MIN(0,ROUND($R105*EFBPercent+EFBAdd,2)-$Q105),MIN(0,SUM($CS105:CS105)+MIN(0,ROUND($R105*EFBPercent+EFBAdd,2)-$Q105)))</f>
        <v>0</v>
      </c>
      <c r="DC105" s="192">
        <f>IF(CU105&lt;0,0,MAX(-CU105,MIN(0,ROUND($R105*EFBPercent+EFBAdd,2)-$Q105),MIN(0,SUM($CS105:CT105)+MIN(0,ROUND($R105*EFBPercent+EFBAdd,2)-$Q105))))</f>
        <v>0</v>
      </c>
      <c r="DD105" s="192">
        <f>IF(CV105&lt;0,0,MAX(-CV105,MIN(0,ROUND($R105*EFBPercent+EFBAdd,2)-$Q105),MIN(0,SUM($CS105:CU105)+MIN(0,ROUND($R105*EFBPercent+EFBAdd,2)-$Q105))))</f>
        <v>0</v>
      </c>
      <c r="DE105" s="192">
        <f>IF(CW105&lt;0,0,MAX(-CW105,MIN(0,ROUND($R105*EFBPercent+EFBAdd,2)-$Q105),MIN(0,SUM($CS105:CV105)+MIN(0,ROUND($R105*EFBPercent+EFBAdd,2)-$Q105))))</f>
        <v>0</v>
      </c>
      <c r="DF105" s="192">
        <f>IF(CX105&lt;0,0,MAX(-CX105,MIN(0,ROUND($R105*EFBPercent+EFBAdd,2)-$Q105),MIN(0,SUM($CS105:CW105)+MIN(0,ROUND($R105*EFBPercent+EFBAdd,2)-$Q105))))</f>
        <v>0</v>
      </c>
      <c r="DG105" s="192">
        <f>MAX(-CY105,MIN(0,ROUND($R105*EFBPercent+EFBAdd,2)-$Q105),MIN(0,SUM($CS105:CX105)+MIN(0,ROUND($R105*EFBPercent+EFBAdd,2)-$Q105)))</f>
        <v>0</v>
      </c>
      <c r="DI105" s="73">
        <f t="shared" si="80"/>
        <v>1758544.09</v>
      </c>
      <c r="DJ105" s="73">
        <f t="shared" si="81"/>
        <v>35713.31</v>
      </c>
      <c r="DK105" s="73">
        <f t="shared" si="82"/>
        <v>0</v>
      </c>
      <c r="DL105" s="73">
        <f t="shared" si="83"/>
        <v>0</v>
      </c>
      <c r="DM105" s="73">
        <f t="shared" si="84"/>
        <v>0</v>
      </c>
      <c r="DN105" s="73">
        <f t="shared" si="85"/>
        <v>0</v>
      </c>
      <c r="DO105" s="73">
        <f t="shared" si="86"/>
        <v>0</v>
      </c>
      <c r="DP105" s="73"/>
      <c r="DQ105" s="73"/>
    </row>
    <row r="106" spans="1:121" ht="10.199999999999999" x14ac:dyDescent="0.2">
      <c r="A106" s="4" t="s">
        <v>579</v>
      </c>
      <c r="B106" s="188">
        <v>1096</v>
      </c>
      <c r="C106" s="189" t="s">
        <v>105</v>
      </c>
      <c r="D106" s="4">
        <v>2027</v>
      </c>
      <c r="E106" s="4" t="s">
        <v>418</v>
      </c>
      <c r="F106" s="4">
        <v>1</v>
      </c>
      <c r="G106" s="4" t="s">
        <v>684</v>
      </c>
      <c r="H106" s="4">
        <v>100</v>
      </c>
      <c r="I106" s="4" t="s">
        <v>1091</v>
      </c>
      <c r="J106" s="5">
        <v>2481433.4900000002</v>
      </c>
      <c r="K106" s="5">
        <v>257.25</v>
      </c>
      <c r="L106" s="5">
        <v>341.39</v>
      </c>
      <c r="M106" s="5">
        <v>0</v>
      </c>
      <c r="N106" s="5">
        <v>10002591</v>
      </c>
      <c r="O106" s="5">
        <v>0</v>
      </c>
      <c r="P106" s="5">
        <v>92.16</v>
      </c>
      <c r="Q106" s="5">
        <v>0</v>
      </c>
      <c r="R106" s="5">
        <v>0</v>
      </c>
      <c r="S106" s="5">
        <v>2850</v>
      </c>
      <c r="T106" s="5">
        <v>56441.87</v>
      </c>
      <c r="U106" s="5">
        <v>87.04</v>
      </c>
      <c r="V106" s="5">
        <v>113477.16</v>
      </c>
      <c r="W106" s="5">
        <v>2818.51</v>
      </c>
      <c r="X106" s="5">
        <v>12437.59</v>
      </c>
      <c r="Y106" s="5">
        <v>0</v>
      </c>
      <c r="Z106" s="5">
        <v>6</v>
      </c>
      <c r="AA106" s="5">
        <v>50</v>
      </c>
      <c r="AB106" s="5">
        <v>22</v>
      </c>
      <c r="AC106" s="5">
        <v>45</v>
      </c>
      <c r="AD106" s="5">
        <v>0</v>
      </c>
      <c r="AE106" s="5">
        <v>0</v>
      </c>
      <c r="AF106" s="5">
        <v>0</v>
      </c>
      <c r="AG106" s="5">
        <v>0</v>
      </c>
      <c r="AH106" s="5">
        <v>0.45200000000000001</v>
      </c>
      <c r="AI106" s="5">
        <v>0</v>
      </c>
      <c r="AJ106" s="5">
        <v>0</v>
      </c>
      <c r="AK106" s="5">
        <v>0</v>
      </c>
      <c r="AL106" s="5">
        <v>122.13000000000001</v>
      </c>
      <c r="AM106" s="5">
        <v>0</v>
      </c>
      <c r="AN106" s="5">
        <v>123</v>
      </c>
      <c r="AO106" s="5">
        <f t="shared" si="94"/>
        <v>0</v>
      </c>
      <c r="AP106" s="5">
        <f t="shared" si="101"/>
        <v>0</v>
      </c>
      <c r="AQ106" s="5">
        <v>0</v>
      </c>
      <c r="AR106" s="5">
        <v>0.04</v>
      </c>
      <c r="AS106" s="5">
        <v>0</v>
      </c>
      <c r="AT106" s="5">
        <v>82764</v>
      </c>
      <c r="AU106" s="5">
        <v>0</v>
      </c>
      <c r="AV106" s="5">
        <v>1026</v>
      </c>
      <c r="AW106" s="199">
        <v>341.39</v>
      </c>
      <c r="AX106" s="199">
        <v>1</v>
      </c>
      <c r="AY106" s="199">
        <v>0</v>
      </c>
      <c r="AZ106" s="199">
        <v>0</v>
      </c>
      <c r="BA106" s="5">
        <v>222915.48</v>
      </c>
      <c r="BB106" s="13">
        <v>590158.98</v>
      </c>
      <c r="BC106" s="190">
        <f>MAX(ROUND(IF(F106&lt;4,IF(H106=0,(SUM(Y106:AD106)*Worksheet!$E$26+Y106*Worksheet!$E$27+AR106*Worksheet!$E$39)*-BaseRate,0)),2),MIN(0,-DI106))</f>
        <v>0</v>
      </c>
      <c r="BD106" s="190">
        <f>MAX(ROUND(IF(F106=4,0,IF(I106=0,0,ROUND(SUM(Y106:AD106)*Worksheet!$E$28,2)*-BaseRate)),2),MIN(0,-DI106-BC106))</f>
        <v>-2908.25</v>
      </c>
      <c r="BE106" s="130">
        <f t="shared" si="87"/>
        <v>0</v>
      </c>
      <c r="BF106" s="130">
        <f t="shared" si="88"/>
        <v>1403</v>
      </c>
      <c r="BG106" s="73"/>
      <c r="BH106" s="191">
        <f t="shared" si="89"/>
        <v>45287.23</v>
      </c>
      <c r="BI106" s="191">
        <f t="shared" si="90"/>
        <v>9646</v>
      </c>
      <c r="BJ106" s="232">
        <f>IFERROR(ROUND(IF(AND(BB106*1.12&lt;N106*60/1000,N106/CL106&lt;STVPP*0.2),(CL106*STVPP*0.2*Worksheet!$F$88/1000-BB106*1.12)*PropTaxAdj,IF(BB106*1.12&lt;N106*60/1000,(N106*60/1000-BB106*1.12)*PropTaxAdj,0)),2),0)</f>
        <v>0</v>
      </c>
      <c r="BK106" s="192">
        <f>ROUND(IF($F106=4,0,Y106*Worksheet!$E$16),2)</f>
        <v>0</v>
      </c>
      <c r="BL106" s="192">
        <f>ROUND(IF($F106=4,0,Z106*Worksheet!$E$17),2)</f>
        <v>6</v>
      </c>
      <c r="BM106" s="192">
        <f>ROUND(IF($F106=4,0,AA106*Worksheet!$E$18),2)</f>
        <v>50</v>
      </c>
      <c r="BN106" s="192">
        <f>ROUND(IF($F106=4,0,AB106*Worksheet!$E$19),2)</f>
        <v>22</v>
      </c>
      <c r="BO106" s="192">
        <f>ROUND(IF($F106=4,0,AC106*Worksheet!$E$20),2)</f>
        <v>45</v>
      </c>
      <c r="BP106" s="192">
        <f>ROUND(AD106*Worksheet!$E$21,2)</f>
        <v>0</v>
      </c>
      <c r="BQ106" s="192">
        <f t="shared" si="76"/>
        <v>123</v>
      </c>
      <c r="BR106" s="192">
        <f>ROUND(AD106*Worksheet!$E$25,2)</f>
        <v>0</v>
      </c>
      <c r="BS106" s="192">
        <f>ROUND(SUM(BQ106)*Worksheet!$E$26,2)</f>
        <v>10.82</v>
      </c>
      <c r="BT106" s="192">
        <f>ROUND(Y106*Worksheet!$E$27,2)</f>
        <v>0</v>
      </c>
      <c r="BU106" s="192">
        <f>ROUND(AO106*Worksheet!$E$29,2)</f>
        <v>0</v>
      </c>
      <c r="BV106" s="192">
        <f>ROUND(AP106*Worksheet!$E$30,2)</f>
        <v>0</v>
      </c>
      <c r="BW106" s="192">
        <f>ROUND(IF($I106&lt;&gt;0,$BQ106*Worksheet!$E$28,0),2)</f>
        <v>0.25</v>
      </c>
      <c r="BX106" s="192">
        <f>ROUND(AE106*Worksheet!$E$31,2)</f>
        <v>0</v>
      </c>
      <c r="BY106" s="192">
        <f>ROUND(AF106*Worksheet!$E$32,2)</f>
        <v>0</v>
      </c>
      <c r="BZ106" s="192">
        <f>ROUND(AG106*Worksheet!$E$33,2)</f>
        <v>0</v>
      </c>
      <c r="CA106" s="192">
        <f>ROUND(ROUND(AH106*BQ106,2)*Worksheet!$E$34,2)</f>
        <v>1.39</v>
      </c>
      <c r="CB106" s="192">
        <f>ROUND(AI106*Worksheet!$E$35,2)</f>
        <v>0</v>
      </c>
      <c r="CC106" s="192">
        <f>ROUND(AJ106*Worksheet!$E$36,2)</f>
        <v>0</v>
      </c>
      <c r="CD106" s="192">
        <f>ROUND(AQ106*Worksheet!$E$38,2)</f>
        <v>0</v>
      </c>
      <c r="CE106" s="192">
        <f>ROUND(AR106*Worksheet!$E$39,2)</f>
        <v>0.04</v>
      </c>
      <c r="CF106" s="192">
        <f>IF(AND(L106&gt;275,SUM(Y106:AD106)&lt;100),ROUND(SUM(Y106:AD106)*Worksheet!$E$41,2),0)</f>
        <v>0</v>
      </c>
      <c r="CG106" s="192">
        <f>IF(AND(L106&gt;600,SUM(Y106:AD106)&lt;50),ROUND((50-SUM(Y106:AD106))*(Worksheet!$E$41+1),2),0)</f>
        <v>0</v>
      </c>
      <c r="CH106" s="192">
        <f t="shared" si="77"/>
        <v>135.49999999999997</v>
      </c>
      <c r="CI106" s="116">
        <f t="shared" si="95"/>
        <v>0</v>
      </c>
      <c r="CJ106" s="116">
        <f t="shared" si="96"/>
        <v>135.49999999999997</v>
      </c>
      <c r="CK106" s="95">
        <f t="shared" si="91"/>
        <v>1.63</v>
      </c>
      <c r="CL106" s="116">
        <f t="shared" si="97"/>
        <v>220.87</v>
      </c>
      <c r="CM106" s="116">
        <f t="shared" si="98"/>
        <v>220.87</v>
      </c>
      <c r="CN106" s="116">
        <f t="shared" si="92"/>
        <v>2569380.71</v>
      </c>
      <c r="CO106" s="131">
        <f>ROUND(IF(F106=4,0,(MAX(ROUND(MAX((BI106*MIN(CL106,K106)*Worksheet!$D$126)+MAX(CL106-K106,0)*Worksheet!$F$50,SUM(J106)),2),SUM(CN106))-SUM(CN106))*MinAdj),2)</f>
        <v>0</v>
      </c>
      <c r="CP106" s="192">
        <f t="shared" si="93"/>
        <v>2569380.71</v>
      </c>
      <c r="CQ106" s="131">
        <f>IF(CL106=0,0,-MIN(CP106,MIN(CP106,ROUND(IF(ROUND(IF(CL106=0,0,N106/CL106),2)&lt;STVPP*0.2,STVPP*0.2*CL106*Worksheet!$F$88/1000,N106*Worksheet!$F$88/1000),2))))</f>
        <v>-600155.46</v>
      </c>
      <c r="CR106" s="193">
        <f>-MIN(SUM(CP106,CQ106),IF($P106=0,(ROUND(Worksheet!$E$77*S106,2)+ROUND(Worksheet!$E$78*T106,2)+ROUND(Worksheet!$E$79*U106,2)+ROUND(Worksheet!$E$80*V106,2)+ROUND(Worksheet!$E$81*W106,2)+ROUND(Worksheet!$E$82*X106,2)),(ROUND(ROUND(S106*ROUND((1-$O106/$P106),4),2)*Worksheet!$E$77,2)+ROUND(ROUND(T106*ROUND((1-$O106/$P106),4),2)*Worksheet!$E$78,2)+ROUND(ROUND(U106*ROUND((1-$O106/$P106),4),2)*Worksheet!$E$79,2)+ROUND(ROUND(V106*ROUND((1-$O106/$P106),4),2)*Worksheet!$E$80,2)+ROUND(ROUND(W106*ROUND((1-$O106/$P106),4),2)*Worksheet!$E$81,2)+ROUND(ROUND(X106*ROUND((1-$O106/$P106),4),2)*Worksheet!$E$82,2))))</f>
        <v>-141084.12</v>
      </c>
      <c r="CS106" s="192">
        <f t="shared" si="78"/>
        <v>1828141.13</v>
      </c>
      <c r="CT106" s="116">
        <f>ROUND(MIN(BA106,ROUND((ROUND(AS106*Worksheet!$E$104,2)+ROUND(AV106*Worksheet!$E$107,2)+ROUND(AT106*Worksheet!$E$105,2)+ROUND(AW106*Worksheet!$E$108,2)+ROUND(AU106*Worksheet!$E$106,2)+ROUND(AX106*Worksheet!$E$109,2)+ROUND(AY106*Worksheet!$E$110,2)+ROUND(AZ106*Worksheet!$E$111,2))*Worksheet!$D$114,2))*BaseRate,2)</f>
        <v>113654.41</v>
      </c>
      <c r="CU106" s="121">
        <v>0</v>
      </c>
      <c r="CV106" s="121">
        <v>0</v>
      </c>
      <c r="CW106" s="121">
        <v>0</v>
      </c>
      <c r="CX106" s="121">
        <v>0</v>
      </c>
      <c r="CY106" s="121">
        <v>0</v>
      </c>
      <c r="DA106" s="192">
        <f t="shared" si="79"/>
        <v>0</v>
      </c>
      <c r="DB106" s="192">
        <f>MAX(-CT106,MIN(0,ROUND($R106*EFBPercent+EFBAdd,2)-$Q106),MIN(0,SUM($CS106:CS106)+MIN(0,ROUND($R106*EFBPercent+EFBAdd,2)-$Q106)))</f>
        <v>0</v>
      </c>
      <c r="DC106" s="192">
        <f>IF(CU106&lt;0,0,MAX(-CU106,MIN(0,ROUND($R106*EFBPercent+EFBAdd,2)-$Q106),MIN(0,SUM($CS106:CT106)+MIN(0,ROUND($R106*EFBPercent+EFBAdd,2)-$Q106))))</f>
        <v>0</v>
      </c>
      <c r="DD106" s="192">
        <f>IF(CV106&lt;0,0,MAX(-CV106,MIN(0,ROUND($R106*EFBPercent+EFBAdd,2)-$Q106),MIN(0,SUM($CS106:CU106)+MIN(0,ROUND($R106*EFBPercent+EFBAdd,2)-$Q106))))</f>
        <v>0</v>
      </c>
      <c r="DE106" s="192">
        <f>IF(CW106&lt;0,0,MAX(-CW106,MIN(0,ROUND($R106*EFBPercent+EFBAdd,2)-$Q106),MIN(0,SUM($CS106:CV106)+MIN(0,ROUND($R106*EFBPercent+EFBAdd,2)-$Q106))))</f>
        <v>0</v>
      </c>
      <c r="DF106" s="192">
        <f>IF(CX106&lt;0,0,MAX(-CX106,MIN(0,ROUND($R106*EFBPercent+EFBAdd,2)-$Q106),MIN(0,SUM($CS106:CW106)+MIN(0,ROUND($R106*EFBPercent+EFBAdd,2)-$Q106))))</f>
        <v>0</v>
      </c>
      <c r="DG106" s="192">
        <f>MAX(-CY106,MIN(0,ROUND($R106*EFBPercent+EFBAdd,2)-$Q106),MIN(0,SUM($CS106:CX106)+MIN(0,ROUND($R106*EFBPercent+EFBAdd,2)-$Q106)))</f>
        <v>0</v>
      </c>
      <c r="DI106" s="73">
        <f t="shared" si="80"/>
        <v>1828141.13</v>
      </c>
      <c r="DJ106" s="73">
        <f t="shared" si="81"/>
        <v>113654.41</v>
      </c>
      <c r="DK106" s="73">
        <f t="shared" si="82"/>
        <v>0</v>
      </c>
      <c r="DL106" s="73">
        <f t="shared" si="83"/>
        <v>0</v>
      </c>
      <c r="DM106" s="73">
        <f t="shared" si="84"/>
        <v>0</v>
      </c>
      <c r="DN106" s="73">
        <f t="shared" si="85"/>
        <v>0</v>
      </c>
      <c r="DO106" s="73">
        <f t="shared" si="86"/>
        <v>0</v>
      </c>
      <c r="DP106" s="73"/>
      <c r="DQ106" s="73"/>
    </row>
    <row r="107" spans="1:121" ht="10.199999999999999" x14ac:dyDescent="0.2">
      <c r="A107" s="4" t="s">
        <v>580</v>
      </c>
      <c r="B107" s="188">
        <v>1049</v>
      </c>
      <c r="C107" s="189" t="s">
        <v>106</v>
      </c>
      <c r="D107" s="4">
        <v>2027</v>
      </c>
      <c r="E107" s="4" t="s">
        <v>419</v>
      </c>
      <c r="F107" s="4">
        <v>1</v>
      </c>
      <c r="G107" s="4" t="s">
        <v>684</v>
      </c>
      <c r="H107" s="4">
        <v>100</v>
      </c>
      <c r="I107" s="4" t="s">
        <v>1091</v>
      </c>
      <c r="J107" s="5">
        <v>4613636.24</v>
      </c>
      <c r="K107" s="5">
        <v>437.53</v>
      </c>
      <c r="L107" s="5">
        <v>393.35</v>
      </c>
      <c r="M107" s="5">
        <v>0</v>
      </c>
      <c r="N107" s="5">
        <v>29024978</v>
      </c>
      <c r="O107" s="5">
        <v>0</v>
      </c>
      <c r="P107" s="5">
        <v>100</v>
      </c>
      <c r="Q107" s="5">
        <v>0</v>
      </c>
      <c r="R107" s="5">
        <v>0</v>
      </c>
      <c r="S107" s="5">
        <v>27245.02</v>
      </c>
      <c r="T107" s="5">
        <v>245769.58</v>
      </c>
      <c r="U107" s="5">
        <v>2682.2</v>
      </c>
      <c r="V107" s="5">
        <v>11501.35</v>
      </c>
      <c r="W107" s="5">
        <v>22053.9</v>
      </c>
      <c r="X107" s="5">
        <v>8181.81</v>
      </c>
      <c r="Y107" s="5">
        <v>7</v>
      </c>
      <c r="Z107" s="5">
        <v>35</v>
      </c>
      <c r="AA107" s="5">
        <v>157</v>
      </c>
      <c r="AB107" s="5">
        <v>57</v>
      </c>
      <c r="AC107" s="5">
        <v>113</v>
      </c>
      <c r="AD107" s="5">
        <v>0</v>
      </c>
      <c r="AE107" s="5">
        <v>0</v>
      </c>
      <c r="AF107" s="5">
        <v>0</v>
      </c>
      <c r="AG107" s="5">
        <v>0</v>
      </c>
      <c r="AH107" s="5">
        <v>0.22900000000000001</v>
      </c>
      <c r="AI107" s="5">
        <v>0</v>
      </c>
      <c r="AJ107" s="5">
        <v>0</v>
      </c>
      <c r="AK107" s="5">
        <v>0</v>
      </c>
      <c r="AL107" s="5">
        <v>358.32</v>
      </c>
      <c r="AM107" s="5">
        <v>0</v>
      </c>
      <c r="AN107" s="5">
        <v>362</v>
      </c>
      <c r="AO107" s="5">
        <f t="shared" si="94"/>
        <v>0</v>
      </c>
      <c r="AP107" s="5">
        <f t="shared" si="101"/>
        <v>0</v>
      </c>
      <c r="AQ107" s="5">
        <v>0</v>
      </c>
      <c r="AR107" s="5">
        <v>0</v>
      </c>
      <c r="AS107" s="5">
        <v>0</v>
      </c>
      <c r="AT107" s="5">
        <v>99760</v>
      </c>
      <c r="AU107" s="5">
        <v>0</v>
      </c>
      <c r="AV107" s="5">
        <v>1720</v>
      </c>
      <c r="AW107" s="199">
        <v>393.35</v>
      </c>
      <c r="AX107" s="199">
        <v>2</v>
      </c>
      <c r="AY107" s="199">
        <v>0</v>
      </c>
      <c r="AZ107" s="199">
        <v>0</v>
      </c>
      <c r="BA107" s="5">
        <v>420200.78</v>
      </c>
      <c r="BB107" s="13">
        <v>1619756.94</v>
      </c>
      <c r="BC107" s="190">
        <f>MAX(ROUND(IF(F107&lt;4,IF(H107=0,(SUM(Y107:AD107)*Worksheet!$E$26+Y107*Worksheet!$E$27+AR107*Worksheet!$E$39)*-BaseRate,0)),2),MIN(0,-DI107))</f>
        <v>0</v>
      </c>
      <c r="BD107" s="190">
        <f>MAX(ROUND(IF(F107=4,0,IF(I107=0,0,ROUND(SUM(Y107:AD107)*Worksheet!$E$28,2)*-BaseRate)),2),MIN(0,-DI107-BC107))</f>
        <v>-8608.42</v>
      </c>
      <c r="BE107" s="130">
        <f t="shared" si="87"/>
        <v>0</v>
      </c>
      <c r="BF107" s="130">
        <f t="shared" si="88"/>
        <v>1403</v>
      </c>
      <c r="BG107" s="73"/>
      <c r="BH107" s="191">
        <f t="shared" si="89"/>
        <v>67525.070000000007</v>
      </c>
      <c r="BI107" s="191">
        <f t="shared" si="90"/>
        <v>10544.73</v>
      </c>
      <c r="BJ107" s="232">
        <f>IFERROR(ROUND(IF(AND(BB107*1.12&lt;N107*60/1000,N107/CL107&lt;STVPP*0.2),(CL107*STVPP*0.2*Worksheet!$F$88/1000-BB107*1.12)*PropTaxAdj,IF(BB107*1.12&lt;N107*60/1000,(N107*60/1000-BB107*1.12)*PropTaxAdj,0)),2),0)</f>
        <v>0</v>
      </c>
      <c r="BK107" s="192">
        <f>ROUND(IF($F107=4,0,Y107*Worksheet!$E$16),2)</f>
        <v>7</v>
      </c>
      <c r="BL107" s="192">
        <f>ROUND(IF($F107=4,0,Z107*Worksheet!$E$17),2)</f>
        <v>35</v>
      </c>
      <c r="BM107" s="192">
        <f>ROUND(IF($F107=4,0,AA107*Worksheet!$E$18),2)</f>
        <v>157</v>
      </c>
      <c r="BN107" s="192">
        <f>ROUND(IF($F107=4,0,AB107*Worksheet!$E$19),2)</f>
        <v>57</v>
      </c>
      <c r="BO107" s="192">
        <f>ROUND(IF($F107=4,0,AC107*Worksheet!$E$20),2)</f>
        <v>113</v>
      </c>
      <c r="BP107" s="192">
        <f>ROUND(AD107*Worksheet!$E$21,2)</f>
        <v>0</v>
      </c>
      <c r="BQ107" s="192">
        <f t="shared" si="76"/>
        <v>369</v>
      </c>
      <c r="BR107" s="192">
        <f>ROUND(AD107*Worksheet!$E$25,2)</f>
        <v>0</v>
      </c>
      <c r="BS107" s="192">
        <f>ROUND(SUM(BQ107)*Worksheet!$E$26,2)</f>
        <v>32.47</v>
      </c>
      <c r="BT107" s="192">
        <f>ROUND(Y107*Worksheet!$E$27,2)</f>
        <v>1.19</v>
      </c>
      <c r="BU107" s="192">
        <f>ROUND(AO107*Worksheet!$E$29,2)</f>
        <v>0</v>
      </c>
      <c r="BV107" s="192">
        <f>ROUND(AP107*Worksheet!$E$30,2)</f>
        <v>0</v>
      </c>
      <c r="BW107" s="192">
        <f>ROUND(IF($I107&lt;&gt;0,$BQ107*Worksheet!$E$28,0),2)</f>
        <v>0.74</v>
      </c>
      <c r="BX107" s="192">
        <f>ROUND(AE107*Worksheet!$E$31,2)</f>
        <v>0</v>
      </c>
      <c r="BY107" s="192">
        <f>ROUND(AF107*Worksheet!$E$32,2)</f>
        <v>0</v>
      </c>
      <c r="BZ107" s="192">
        <f>ROUND(AG107*Worksheet!$E$33,2)</f>
        <v>0</v>
      </c>
      <c r="CA107" s="192">
        <f>ROUND(ROUND(AH107*BQ107,2)*Worksheet!$E$34,2)</f>
        <v>2.11</v>
      </c>
      <c r="CB107" s="192">
        <f>ROUND(AI107*Worksheet!$E$35,2)</f>
        <v>0</v>
      </c>
      <c r="CC107" s="192">
        <f>ROUND(AJ107*Worksheet!$E$36,2)</f>
        <v>0</v>
      </c>
      <c r="CD107" s="192">
        <f>ROUND(AQ107*Worksheet!$E$38,2)</f>
        <v>0</v>
      </c>
      <c r="CE107" s="192">
        <f>ROUND(AR107*Worksheet!$E$39,2)</f>
        <v>0</v>
      </c>
      <c r="CF107" s="192">
        <f>IF(AND(L107&gt;275,SUM(Y107:AD107)&lt;100),ROUND(SUM(Y107:AD107)*Worksheet!$E$41,2),0)</f>
        <v>0</v>
      </c>
      <c r="CG107" s="192">
        <f>IF(AND(L107&gt;600,SUM(Y107:AD107)&lt;50),ROUND((50-SUM(Y107:AD107))*(Worksheet!$E$41+1),2),0)</f>
        <v>0</v>
      </c>
      <c r="CH107" s="192">
        <f t="shared" si="77"/>
        <v>405.51000000000005</v>
      </c>
      <c r="CI107" s="116">
        <f t="shared" si="95"/>
        <v>0</v>
      </c>
      <c r="CJ107" s="116">
        <f t="shared" si="96"/>
        <v>405.51000000000005</v>
      </c>
      <c r="CK107" s="95">
        <f t="shared" si="91"/>
        <v>1.06</v>
      </c>
      <c r="CL107" s="116">
        <f t="shared" si="97"/>
        <v>429.84</v>
      </c>
      <c r="CM107" s="116">
        <f t="shared" si="98"/>
        <v>429.84</v>
      </c>
      <c r="CN107" s="116">
        <f t="shared" si="92"/>
        <v>5000328.72</v>
      </c>
      <c r="CO107" s="131">
        <f>ROUND(IF(F107=4,0,(MAX(ROUND(MAX((BI107*MIN(CL107,K107)*Worksheet!$D$126)+MAX(CL107-K107,0)*Worksheet!$F$50,SUM(J107)),2),SUM(CN107))-SUM(CN107))*MinAdj),2)</f>
        <v>0</v>
      </c>
      <c r="CP107" s="192">
        <f t="shared" si="93"/>
        <v>5000328.72</v>
      </c>
      <c r="CQ107" s="131">
        <f>IF(CL107=0,0,-MIN(CP107,MIN(CP107,ROUND(IF(ROUND(IF(CL107=0,0,N107/CL107),2)&lt;STVPP*0.2,STVPP*0.2*CL107*Worksheet!$F$88/1000,N107*Worksheet!$F$88/1000),2))))</f>
        <v>-1741498.68</v>
      </c>
      <c r="CR107" s="193">
        <f>-MIN(SUM(CP107,CQ107),IF($P107=0,(ROUND(Worksheet!$E$77*S107,2)+ROUND(Worksheet!$E$78*T107,2)+ROUND(Worksheet!$E$79*U107,2)+ROUND(Worksheet!$E$80*V107,2)+ROUND(Worksheet!$E$81*W107,2)+ROUND(Worksheet!$E$82*X107,2)),(ROUND(ROUND(S107*ROUND((1-$O107/$P107),4),2)*Worksheet!$E$77,2)+ROUND(ROUND(T107*ROUND((1-$O107/$P107),4),2)*Worksheet!$E$78,2)+ROUND(ROUND(U107*ROUND((1-$O107/$P107),4),2)*Worksheet!$E$79,2)+ROUND(ROUND(V107*ROUND((1-$O107/$P107),4),2)*Worksheet!$E$80,2)+ROUND(ROUND(W107*ROUND((1-$O107/$P107),4),2)*Worksheet!$E$81,2)+ROUND(ROUND(X107*ROUND((1-$O107/$P107),4),2)*Worksheet!$E$82,2))))</f>
        <v>-238075.40999999997</v>
      </c>
      <c r="CS107" s="192">
        <f t="shared" si="78"/>
        <v>3020754.63</v>
      </c>
      <c r="CT107" s="116">
        <f>ROUND(MIN(BA107,ROUND((ROUND(AS107*Worksheet!$E$104,2)+ROUND(AV107*Worksheet!$E$107,2)+ROUND(AT107*Worksheet!$E$105,2)+ROUND(AW107*Worksheet!$E$108,2)+ROUND(AU107*Worksheet!$E$106,2)+ROUND(AX107*Worksheet!$E$109,2)+ROUND(AY107*Worksheet!$E$110,2)+ROUND(AZ107*Worksheet!$E$111,2))*Worksheet!$D$114,2))*BaseRate,2)</f>
        <v>143667.54999999999</v>
      </c>
      <c r="CU107" s="121">
        <v>0</v>
      </c>
      <c r="CV107" s="121">
        <v>0</v>
      </c>
      <c r="CW107" s="121">
        <v>0</v>
      </c>
      <c r="CX107" s="121">
        <v>0</v>
      </c>
      <c r="CY107" s="121">
        <v>0</v>
      </c>
      <c r="DA107" s="192">
        <f t="shared" si="79"/>
        <v>0</v>
      </c>
      <c r="DB107" s="192">
        <f>MAX(-CT107,MIN(0,ROUND($R107*EFBPercent+EFBAdd,2)-$Q107),MIN(0,SUM($CS107:CS107)+MIN(0,ROUND($R107*EFBPercent+EFBAdd,2)-$Q107)))</f>
        <v>0</v>
      </c>
      <c r="DC107" s="192">
        <f>IF(CU107&lt;0,0,MAX(-CU107,MIN(0,ROUND($R107*EFBPercent+EFBAdd,2)-$Q107),MIN(0,SUM($CS107:CT107)+MIN(0,ROUND($R107*EFBPercent+EFBAdd,2)-$Q107))))</f>
        <v>0</v>
      </c>
      <c r="DD107" s="192">
        <f>IF(CV107&lt;0,0,MAX(-CV107,MIN(0,ROUND($R107*EFBPercent+EFBAdd,2)-$Q107),MIN(0,SUM($CS107:CU107)+MIN(0,ROUND($R107*EFBPercent+EFBAdd,2)-$Q107))))</f>
        <v>0</v>
      </c>
      <c r="DE107" s="192">
        <f>IF(CW107&lt;0,0,MAX(-CW107,MIN(0,ROUND($R107*EFBPercent+EFBAdd,2)-$Q107),MIN(0,SUM($CS107:CV107)+MIN(0,ROUND($R107*EFBPercent+EFBAdd,2)-$Q107))))</f>
        <v>0</v>
      </c>
      <c r="DF107" s="192">
        <f>IF(CX107&lt;0,0,MAX(-CX107,MIN(0,ROUND($R107*EFBPercent+EFBAdd,2)-$Q107),MIN(0,SUM($CS107:CW107)+MIN(0,ROUND($R107*EFBPercent+EFBAdd,2)-$Q107))))</f>
        <v>0</v>
      </c>
      <c r="DG107" s="192">
        <f>MAX(-CY107,MIN(0,ROUND($R107*EFBPercent+EFBAdd,2)-$Q107),MIN(0,SUM($CS107:CX107)+MIN(0,ROUND($R107*EFBPercent+EFBAdd,2)-$Q107)))</f>
        <v>0</v>
      </c>
      <c r="DI107" s="73">
        <f t="shared" si="80"/>
        <v>3020754.63</v>
      </c>
      <c r="DJ107" s="73">
        <f t="shared" si="81"/>
        <v>143667.54999999999</v>
      </c>
      <c r="DK107" s="73">
        <f t="shared" si="82"/>
        <v>0</v>
      </c>
      <c r="DL107" s="73">
        <f t="shared" si="83"/>
        <v>0</v>
      </c>
      <c r="DM107" s="73">
        <f t="shared" si="84"/>
        <v>0</v>
      </c>
      <c r="DN107" s="73">
        <f t="shared" si="85"/>
        <v>0</v>
      </c>
      <c r="DO107" s="73">
        <f t="shared" si="86"/>
        <v>0</v>
      </c>
      <c r="DP107" s="73"/>
      <c r="DQ107" s="73"/>
    </row>
    <row r="108" spans="1:121" ht="10.199999999999999" x14ac:dyDescent="0.2">
      <c r="A108" s="4" t="s">
        <v>581</v>
      </c>
      <c r="B108" s="188">
        <v>1159</v>
      </c>
      <c r="C108" s="189" t="s">
        <v>107</v>
      </c>
      <c r="D108" s="4">
        <v>2027</v>
      </c>
      <c r="E108" s="4" t="s">
        <v>420</v>
      </c>
      <c r="F108" s="4">
        <v>1</v>
      </c>
      <c r="G108" s="4" t="s">
        <v>684</v>
      </c>
      <c r="H108" s="4">
        <v>100</v>
      </c>
      <c r="I108" s="4" t="s">
        <v>1091</v>
      </c>
      <c r="J108" s="5">
        <v>2536112.7400000002</v>
      </c>
      <c r="K108" s="5">
        <v>244.21</v>
      </c>
      <c r="L108" s="5">
        <v>531.21</v>
      </c>
      <c r="M108" s="5">
        <v>0</v>
      </c>
      <c r="N108" s="5">
        <v>15798867</v>
      </c>
      <c r="O108" s="5">
        <v>11.47</v>
      </c>
      <c r="P108" s="5">
        <v>85.62</v>
      </c>
      <c r="Q108" s="5">
        <v>0</v>
      </c>
      <c r="R108" s="5">
        <v>0</v>
      </c>
      <c r="S108" s="5">
        <v>1700</v>
      </c>
      <c r="T108" s="5">
        <v>121021.68</v>
      </c>
      <c r="U108" s="5">
        <v>463</v>
      </c>
      <c r="V108" s="5">
        <v>9909.2100000000009</v>
      </c>
      <c r="W108" s="5">
        <v>10016.15</v>
      </c>
      <c r="X108" s="5">
        <v>13215.35</v>
      </c>
      <c r="Y108" s="5">
        <v>1.1599999999999999</v>
      </c>
      <c r="Z108" s="5">
        <v>7</v>
      </c>
      <c r="AA108" s="5">
        <v>71</v>
      </c>
      <c r="AB108" s="5">
        <v>37</v>
      </c>
      <c r="AC108" s="5">
        <v>52</v>
      </c>
      <c r="AD108" s="5">
        <v>0</v>
      </c>
      <c r="AE108" s="5">
        <v>0</v>
      </c>
      <c r="AF108" s="5">
        <v>0</v>
      </c>
      <c r="AG108" s="5">
        <v>0</v>
      </c>
      <c r="AH108" s="5">
        <v>0.26900000000000002</v>
      </c>
      <c r="AI108" s="5">
        <v>0</v>
      </c>
      <c r="AJ108" s="5">
        <v>0</v>
      </c>
      <c r="AK108" s="5">
        <v>0</v>
      </c>
      <c r="AL108" s="5">
        <v>165.54000000000002</v>
      </c>
      <c r="AM108" s="5">
        <v>0</v>
      </c>
      <c r="AN108" s="5">
        <v>167</v>
      </c>
      <c r="AO108" s="5">
        <f t="shared" si="94"/>
        <v>0</v>
      </c>
      <c r="AP108" s="5">
        <f t="shared" si="101"/>
        <v>0</v>
      </c>
      <c r="AQ108" s="5">
        <v>1.31</v>
      </c>
      <c r="AR108" s="5">
        <v>0.02</v>
      </c>
      <c r="AS108" s="5">
        <v>0</v>
      </c>
      <c r="AT108" s="5">
        <v>103356</v>
      </c>
      <c r="AU108" s="5">
        <v>0</v>
      </c>
      <c r="AV108" s="5">
        <v>1740</v>
      </c>
      <c r="AW108" s="199">
        <v>531.21</v>
      </c>
      <c r="AX108" s="199">
        <v>1</v>
      </c>
      <c r="AY108" s="199">
        <v>0</v>
      </c>
      <c r="AZ108" s="199">
        <v>0</v>
      </c>
      <c r="BA108" s="5">
        <v>339163.89</v>
      </c>
      <c r="BB108" s="13">
        <v>915256.98</v>
      </c>
      <c r="BC108" s="190">
        <f>MAX(ROUND(IF(F108&lt;4,IF(H108=0,(SUM(Y108:AD108)*Worksheet!$E$26+Y108*Worksheet!$E$27+AR108*Worksheet!$E$39)*-BaseRate,0)),2),MIN(0,-DI108))</f>
        <v>0</v>
      </c>
      <c r="BD108" s="190">
        <f>MAX(ROUND(IF(F108=4,0,IF(I108=0,0,ROUND(SUM(Y108:AD108)*Worksheet!$E$28,2)*-BaseRate)),2),MIN(0,-DI108-BC108))</f>
        <v>-3955.22</v>
      </c>
      <c r="BE108" s="130">
        <f t="shared" si="87"/>
        <v>0</v>
      </c>
      <c r="BF108" s="130">
        <f t="shared" si="88"/>
        <v>1403</v>
      </c>
      <c r="BG108" s="73"/>
      <c r="BH108" s="191">
        <f t="shared" si="89"/>
        <v>63380.54</v>
      </c>
      <c r="BI108" s="191">
        <f t="shared" si="90"/>
        <v>10384.969999999999</v>
      </c>
      <c r="BJ108" s="232">
        <f>IFERROR(ROUND(IF(AND(BB108*1.12&lt;N108*60/1000,N108/CL108&lt;STVPP*0.2),(CL108*STVPP*0.2*Worksheet!$F$88/1000-BB108*1.12)*PropTaxAdj,IF(BB108*1.12&lt;N108*60/1000,(N108*60/1000-BB108*1.12)*PropTaxAdj,0)),2),0)</f>
        <v>0</v>
      </c>
      <c r="BK108" s="192">
        <f>ROUND(IF($F108=4,0,Y108*Worksheet!$E$16),2)</f>
        <v>1.1599999999999999</v>
      </c>
      <c r="BL108" s="192">
        <f>ROUND(IF($F108=4,0,Z108*Worksheet!$E$17),2)</f>
        <v>7</v>
      </c>
      <c r="BM108" s="192">
        <f>ROUND(IF($F108=4,0,AA108*Worksheet!$E$18),2)</f>
        <v>71</v>
      </c>
      <c r="BN108" s="192">
        <f>ROUND(IF($F108=4,0,AB108*Worksheet!$E$19),2)</f>
        <v>37</v>
      </c>
      <c r="BO108" s="192">
        <f>ROUND(IF($F108=4,0,AC108*Worksheet!$E$20),2)</f>
        <v>52</v>
      </c>
      <c r="BP108" s="192">
        <f>ROUND(AD108*Worksheet!$E$21,2)</f>
        <v>0</v>
      </c>
      <c r="BQ108" s="192">
        <f t="shared" si="76"/>
        <v>168.16</v>
      </c>
      <c r="BR108" s="192">
        <f>ROUND(AD108*Worksheet!$E$25,2)</f>
        <v>0</v>
      </c>
      <c r="BS108" s="192">
        <f>ROUND(SUM(BQ108)*Worksheet!$E$26,2)</f>
        <v>14.8</v>
      </c>
      <c r="BT108" s="192">
        <f>ROUND(Y108*Worksheet!$E$27,2)</f>
        <v>0.2</v>
      </c>
      <c r="BU108" s="192">
        <f>ROUND(AO108*Worksheet!$E$29,2)</f>
        <v>0</v>
      </c>
      <c r="BV108" s="192">
        <f>ROUND(AP108*Worksheet!$E$30,2)</f>
        <v>0</v>
      </c>
      <c r="BW108" s="192">
        <f>ROUND(IF($I108&lt;&gt;0,$BQ108*Worksheet!$E$28,0),2)</f>
        <v>0.34</v>
      </c>
      <c r="BX108" s="192">
        <f>ROUND(AE108*Worksheet!$E$31,2)</f>
        <v>0</v>
      </c>
      <c r="BY108" s="192">
        <f>ROUND(AF108*Worksheet!$E$32,2)</f>
        <v>0</v>
      </c>
      <c r="BZ108" s="192">
        <f>ROUND(AG108*Worksheet!$E$33,2)</f>
        <v>0</v>
      </c>
      <c r="CA108" s="192">
        <f>ROUND(ROUND(AH108*BQ108,2)*Worksheet!$E$34,2)</f>
        <v>1.1299999999999999</v>
      </c>
      <c r="CB108" s="192">
        <f>ROUND(AI108*Worksheet!$E$35,2)</f>
        <v>0</v>
      </c>
      <c r="CC108" s="192">
        <f>ROUND(AJ108*Worksheet!$E$36,2)</f>
        <v>0</v>
      </c>
      <c r="CD108" s="192">
        <f>ROUND(AQ108*Worksheet!$E$38,2)</f>
        <v>0.79</v>
      </c>
      <c r="CE108" s="192">
        <f>ROUND(AR108*Worksheet!$E$39,2)</f>
        <v>0.02</v>
      </c>
      <c r="CF108" s="192">
        <f>IF(AND(L108&gt;275,SUM(Y108:AD108)&lt;100),ROUND(SUM(Y108:AD108)*Worksheet!$E$41,2),0)</f>
        <v>0</v>
      </c>
      <c r="CG108" s="192">
        <f>IF(AND(L108&gt;600,SUM(Y108:AD108)&lt;50),ROUND((50-SUM(Y108:AD108))*(Worksheet!$E$41+1),2),0)</f>
        <v>0</v>
      </c>
      <c r="CH108" s="192">
        <f t="shared" si="77"/>
        <v>185.44</v>
      </c>
      <c r="CI108" s="116">
        <f t="shared" si="95"/>
        <v>0</v>
      </c>
      <c r="CJ108" s="116">
        <f t="shared" si="96"/>
        <v>185.44</v>
      </c>
      <c r="CK108" s="95">
        <f t="shared" si="91"/>
        <v>1.3442000000000001</v>
      </c>
      <c r="CL108" s="116">
        <f t="shared" si="97"/>
        <v>249.27</v>
      </c>
      <c r="CM108" s="116">
        <f t="shared" si="98"/>
        <v>249.27</v>
      </c>
      <c r="CN108" s="116">
        <f t="shared" si="92"/>
        <v>2899757.91</v>
      </c>
      <c r="CO108" s="131">
        <f>ROUND(IF(F108=4,0,(MAX(ROUND(MAX((BI108*MIN(CL108,K108)*Worksheet!$D$126)+MAX(CL108-K108,0)*Worksheet!$F$50,SUM(J108)),2),SUM(CN108))-SUM(CN108))*MinAdj),2)</f>
        <v>0</v>
      </c>
      <c r="CP108" s="192">
        <f t="shared" si="93"/>
        <v>2899757.91</v>
      </c>
      <c r="CQ108" s="131">
        <f>IF(CL108=0,0,-MIN(CP108,MIN(CP108,ROUND(IF(ROUND(IF(CL108=0,0,N108/CL108),2)&lt;STVPP*0.2,STVPP*0.2*CL108*Worksheet!$F$88/1000,N108*Worksheet!$F$88/1000),2))))</f>
        <v>-947932.02</v>
      </c>
      <c r="CR108" s="193">
        <f>-MIN(SUM(CP108,CQ108),IF($P108=0,(ROUND(Worksheet!$E$77*S108,2)+ROUND(Worksheet!$E$78*T108,2)+ROUND(Worksheet!$E$79*U108,2)+ROUND(Worksheet!$E$80*V108,2)+ROUND(Worksheet!$E$81*W108,2)+ROUND(Worksheet!$E$82*X108,2)),(ROUND(ROUND(S108*ROUND((1-$O108/$P108),4),2)*Worksheet!$E$77,2)+ROUND(ROUND(T108*ROUND((1-$O108/$P108),4),2)*Worksheet!$E$78,2)+ROUND(ROUND(U108*ROUND((1-$O108/$P108),4),2)*Worksheet!$E$79,2)+ROUND(ROUND(V108*ROUND((1-$O108/$P108),4),2)*Worksheet!$E$80,2)+ROUND(ROUND(W108*ROUND((1-$O108/$P108),4),2)*Worksheet!$E$81,2)+ROUND(ROUND(X108*ROUND((1-$O108/$P108),4),2)*Worksheet!$E$82,2))))</f>
        <v>-101533.34999999999</v>
      </c>
      <c r="CS108" s="192">
        <f t="shared" si="78"/>
        <v>1850292.54</v>
      </c>
      <c r="CT108" s="116">
        <f>ROUND(MIN(BA108,ROUND((ROUND(AS108*Worksheet!$E$104,2)+ROUND(AV108*Worksheet!$E$107,2)+ROUND(AT108*Worksheet!$E$105,2)+ROUND(AW108*Worksheet!$E$108,2)+ROUND(AU108*Worksheet!$E$106,2)+ROUND(AX108*Worksheet!$E$109,2)+ROUND(AY108*Worksheet!$E$110,2)+ROUND(AZ108*Worksheet!$E$111,2))*Worksheet!$D$114,2))*BaseRate,2)</f>
        <v>147622.76999999999</v>
      </c>
      <c r="CU108" s="121">
        <v>0</v>
      </c>
      <c r="CV108" s="121">
        <v>0</v>
      </c>
      <c r="CW108" s="121">
        <v>0</v>
      </c>
      <c r="CX108" s="121">
        <v>0</v>
      </c>
      <c r="CY108" s="121">
        <v>0</v>
      </c>
      <c r="DA108" s="192">
        <f t="shared" si="79"/>
        <v>0</v>
      </c>
      <c r="DB108" s="192">
        <f>MAX(-CT108,MIN(0,ROUND($R108*EFBPercent+EFBAdd,2)-$Q108),MIN(0,SUM($CS108:CS108)+MIN(0,ROUND($R108*EFBPercent+EFBAdd,2)-$Q108)))</f>
        <v>0</v>
      </c>
      <c r="DC108" s="192">
        <f>IF(CU108&lt;0,0,MAX(-CU108,MIN(0,ROUND($R108*EFBPercent+EFBAdd,2)-$Q108),MIN(0,SUM($CS108:CT108)+MIN(0,ROUND($R108*EFBPercent+EFBAdd,2)-$Q108))))</f>
        <v>0</v>
      </c>
      <c r="DD108" s="192">
        <f>IF(CV108&lt;0,0,MAX(-CV108,MIN(0,ROUND($R108*EFBPercent+EFBAdd,2)-$Q108),MIN(0,SUM($CS108:CU108)+MIN(0,ROUND($R108*EFBPercent+EFBAdd,2)-$Q108))))</f>
        <v>0</v>
      </c>
      <c r="DE108" s="192">
        <f>IF(CW108&lt;0,0,MAX(-CW108,MIN(0,ROUND($R108*EFBPercent+EFBAdd,2)-$Q108),MIN(0,SUM($CS108:CV108)+MIN(0,ROUND($R108*EFBPercent+EFBAdd,2)-$Q108))))</f>
        <v>0</v>
      </c>
      <c r="DF108" s="192">
        <f>IF(CX108&lt;0,0,MAX(-CX108,MIN(0,ROUND($R108*EFBPercent+EFBAdd,2)-$Q108),MIN(0,SUM($CS108:CW108)+MIN(0,ROUND($R108*EFBPercent+EFBAdd,2)-$Q108))))</f>
        <v>0</v>
      </c>
      <c r="DG108" s="192">
        <f>MAX(-CY108,MIN(0,ROUND($R108*EFBPercent+EFBAdd,2)-$Q108),MIN(0,SUM($CS108:CX108)+MIN(0,ROUND($R108*EFBPercent+EFBAdd,2)-$Q108)))</f>
        <v>0</v>
      </c>
      <c r="DI108" s="73">
        <f t="shared" si="80"/>
        <v>1850292.54</v>
      </c>
      <c r="DJ108" s="73">
        <f t="shared" si="81"/>
        <v>147622.76999999999</v>
      </c>
      <c r="DK108" s="73">
        <f t="shared" si="82"/>
        <v>0</v>
      </c>
      <c r="DL108" s="73">
        <f t="shared" si="83"/>
        <v>0</v>
      </c>
      <c r="DM108" s="73">
        <f t="shared" si="84"/>
        <v>0</v>
      </c>
      <c r="DN108" s="73">
        <f t="shared" si="85"/>
        <v>0</v>
      </c>
      <c r="DO108" s="73">
        <f t="shared" si="86"/>
        <v>0</v>
      </c>
      <c r="DP108" s="73"/>
      <c r="DQ108" s="73"/>
    </row>
    <row r="109" spans="1:121" ht="10.199999999999999" x14ac:dyDescent="0.2">
      <c r="A109" s="4" t="s">
        <v>582</v>
      </c>
      <c r="B109" s="188">
        <v>1172</v>
      </c>
      <c r="C109" s="189" t="s">
        <v>108</v>
      </c>
      <c r="D109" s="4">
        <v>2027</v>
      </c>
      <c r="E109" s="4" t="s">
        <v>421</v>
      </c>
      <c r="F109" s="4">
        <v>1</v>
      </c>
      <c r="G109" s="4" t="s">
        <v>684</v>
      </c>
      <c r="H109" s="4">
        <v>100</v>
      </c>
      <c r="I109" s="4" t="s">
        <v>1152</v>
      </c>
      <c r="J109" s="5">
        <v>1707861.62</v>
      </c>
      <c r="K109" s="5">
        <v>204.93</v>
      </c>
      <c r="L109" s="5">
        <v>190.69</v>
      </c>
      <c r="M109" s="5">
        <v>0</v>
      </c>
      <c r="N109" s="5">
        <v>967086</v>
      </c>
      <c r="O109" s="5">
        <v>0</v>
      </c>
      <c r="P109" s="5">
        <v>4.51</v>
      </c>
      <c r="Q109" s="5">
        <v>0</v>
      </c>
      <c r="R109" s="5">
        <v>0</v>
      </c>
      <c r="S109" s="5">
        <v>0</v>
      </c>
      <c r="T109" s="5">
        <v>102626.04</v>
      </c>
      <c r="U109" s="5">
        <v>614.82000000000005</v>
      </c>
      <c r="V109" s="5">
        <v>279.10000000000002</v>
      </c>
      <c r="W109" s="5">
        <v>215.33</v>
      </c>
      <c r="X109" s="5">
        <v>819.72</v>
      </c>
      <c r="Y109" s="5">
        <v>0</v>
      </c>
      <c r="Z109" s="5">
        <v>16</v>
      </c>
      <c r="AA109" s="5">
        <v>88</v>
      </c>
      <c r="AB109" s="5">
        <v>28</v>
      </c>
      <c r="AC109" s="5">
        <v>62</v>
      </c>
      <c r="AD109" s="5">
        <v>0</v>
      </c>
      <c r="AE109" s="5">
        <v>0</v>
      </c>
      <c r="AF109" s="5">
        <v>0</v>
      </c>
      <c r="AG109" s="5">
        <v>0</v>
      </c>
      <c r="AH109" s="5">
        <v>0.72499999999999998</v>
      </c>
      <c r="AI109" s="5">
        <v>0</v>
      </c>
      <c r="AJ109" s="5">
        <v>0</v>
      </c>
      <c r="AK109" s="5">
        <v>0</v>
      </c>
      <c r="AL109" s="5">
        <v>192.07999999999998</v>
      </c>
      <c r="AM109" s="5">
        <v>20.599999999999966</v>
      </c>
      <c r="AN109" s="5">
        <v>194</v>
      </c>
      <c r="AO109" s="5">
        <f t="shared" si="94"/>
        <v>0</v>
      </c>
      <c r="AP109" s="5">
        <f t="shared" si="101"/>
        <v>0</v>
      </c>
      <c r="AQ109" s="5">
        <v>0</v>
      </c>
      <c r="AR109" s="5">
        <v>0</v>
      </c>
      <c r="AS109" s="5">
        <v>0</v>
      </c>
      <c r="AT109" s="5">
        <v>0</v>
      </c>
      <c r="AU109" s="5">
        <v>0</v>
      </c>
      <c r="AV109" s="5">
        <v>0</v>
      </c>
      <c r="AW109" s="199">
        <v>190.69</v>
      </c>
      <c r="AX109" s="199">
        <v>1</v>
      </c>
      <c r="AY109" s="199">
        <v>0</v>
      </c>
      <c r="AZ109" s="199">
        <v>0</v>
      </c>
      <c r="BA109" s="5">
        <v>0</v>
      </c>
      <c r="BB109" s="13">
        <v>150421.54</v>
      </c>
      <c r="BC109" s="190">
        <f>MAX(ROUND(IF(F109&lt;4,IF(H109=0,(SUM(Y109:AD109)*Worksheet!$E$26+Y109*Worksheet!$E$27+AR109*Worksheet!$E$39)*-BaseRate,0)),2),MIN(0,-DI109))</f>
        <v>0</v>
      </c>
      <c r="BD109" s="190">
        <f>MAX(ROUND(IF(F109=4,0,IF(I109=0,0,ROUND(SUM(Y109:AD109)*Worksheet!$E$28,2)*-BaseRate)),2),MIN(0,-DI109-BC109))</f>
        <v>-4536.87</v>
      </c>
      <c r="BE109" s="130">
        <f t="shared" si="87"/>
        <v>0</v>
      </c>
      <c r="BF109" s="130">
        <f t="shared" si="88"/>
        <v>1412</v>
      </c>
      <c r="BG109" s="73"/>
      <c r="BH109" s="191">
        <f t="shared" si="89"/>
        <v>9224.7999999999993</v>
      </c>
      <c r="BI109" s="191">
        <f t="shared" si="90"/>
        <v>8333.8799999999992</v>
      </c>
      <c r="BJ109" s="232">
        <f>IFERROR(ROUND(IF(AND(BB109*1.12&lt;N109*60/1000,N109/CL109&lt;STVPP*0.2),(CL109*STVPP*0.2*Worksheet!$F$88/1000-BB109*1.12)*PropTaxAdj,IF(BB109*1.12&lt;N109*60/1000,(N109*60/1000-BB109*1.12)*PropTaxAdj,0)),2),0)</f>
        <v>0</v>
      </c>
      <c r="BK109" s="192">
        <f>ROUND(IF($F109=4,0,Y109*Worksheet!$E$16),2)</f>
        <v>0</v>
      </c>
      <c r="BL109" s="192">
        <f>ROUND(IF($F109=4,0,Z109*Worksheet!$E$17),2)</f>
        <v>16</v>
      </c>
      <c r="BM109" s="192">
        <f>ROUND(IF($F109=4,0,AA109*Worksheet!$E$18),2)</f>
        <v>88</v>
      </c>
      <c r="BN109" s="192">
        <f>ROUND(IF($F109=4,0,AB109*Worksheet!$E$19),2)</f>
        <v>28</v>
      </c>
      <c r="BO109" s="192">
        <f>ROUND(IF($F109=4,0,AC109*Worksheet!$E$20),2)</f>
        <v>62</v>
      </c>
      <c r="BP109" s="192">
        <f>ROUND(AD109*Worksheet!$E$21,2)</f>
        <v>0</v>
      </c>
      <c r="BQ109" s="192">
        <f t="shared" si="76"/>
        <v>194</v>
      </c>
      <c r="BR109" s="192">
        <f>ROUND(AD109*Worksheet!$E$25,2)</f>
        <v>0</v>
      </c>
      <c r="BS109" s="192">
        <f>ROUND(SUM(BQ109)*Worksheet!$E$26,2)</f>
        <v>17.07</v>
      </c>
      <c r="BT109" s="192">
        <f>ROUND(Y109*Worksheet!$E$27,2)</f>
        <v>0</v>
      </c>
      <c r="BU109" s="192">
        <f>ROUND(AO109*Worksheet!$E$29,2)</f>
        <v>0</v>
      </c>
      <c r="BV109" s="192">
        <f>ROUND(AP109*Worksheet!$E$30,2)</f>
        <v>0</v>
      </c>
      <c r="BW109" s="192">
        <f>ROUND(IF($I109&lt;&gt;0,$BQ109*Worksheet!$E$28,0),2)</f>
        <v>0.39</v>
      </c>
      <c r="BX109" s="192">
        <f>ROUND(AE109*Worksheet!$E$31,2)</f>
        <v>0</v>
      </c>
      <c r="BY109" s="192">
        <f>ROUND(AF109*Worksheet!$E$32,2)</f>
        <v>0</v>
      </c>
      <c r="BZ109" s="192">
        <f>ROUND(AG109*Worksheet!$E$33,2)</f>
        <v>0</v>
      </c>
      <c r="CA109" s="192">
        <f>ROUND(ROUND(AH109*BQ109,2)*Worksheet!$E$34,2)</f>
        <v>3.52</v>
      </c>
      <c r="CB109" s="192">
        <f>ROUND(AI109*Worksheet!$E$35,2)</f>
        <v>0</v>
      </c>
      <c r="CC109" s="192">
        <f>ROUND(AJ109*Worksheet!$E$36,2)</f>
        <v>0</v>
      </c>
      <c r="CD109" s="192">
        <f>ROUND(AQ109*Worksheet!$E$38,2)</f>
        <v>0</v>
      </c>
      <c r="CE109" s="192">
        <f>ROUND(AR109*Worksheet!$E$39,2)</f>
        <v>0</v>
      </c>
      <c r="CF109" s="192">
        <f>IF(AND(L109&gt;275,SUM(Y109:AD109)&lt;100),ROUND(SUM(Y109:AD109)*Worksheet!$E$41,2),0)</f>
        <v>0</v>
      </c>
      <c r="CG109" s="192">
        <f>IF(AND(L109&gt;600,SUM(Y109:AD109)&lt;50),ROUND((50-SUM(Y109:AD109))*(Worksheet!$E$41+1),2),0)</f>
        <v>0</v>
      </c>
      <c r="CH109" s="192">
        <f t="shared" si="77"/>
        <v>214.98</v>
      </c>
      <c r="CI109" s="116">
        <f t="shared" si="95"/>
        <v>0</v>
      </c>
      <c r="CJ109" s="116">
        <f t="shared" si="96"/>
        <v>214.98</v>
      </c>
      <c r="CK109" s="95">
        <f t="shared" si="91"/>
        <v>1.29</v>
      </c>
      <c r="CL109" s="116">
        <f t="shared" si="97"/>
        <v>277.32</v>
      </c>
      <c r="CM109" s="116">
        <f t="shared" si="98"/>
        <v>277.32</v>
      </c>
      <c r="CN109" s="116">
        <f t="shared" si="92"/>
        <v>3226063.56</v>
      </c>
      <c r="CO109" s="131">
        <f>ROUND(IF(F109=4,0,(MAX(ROUND(MAX((BI109*MIN(CL109,K109)*Worksheet!$D$126)+MAX(CL109-K109,0)*Worksheet!$F$50,SUM(J109)),2),SUM(CN109))-SUM(CN109))*MinAdj),2)</f>
        <v>0</v>
      </c>
      <c r="CP109" s="192">
        <f t="shared" si="93"/>
        <v>3226063.56</v>
      </c>
      <c r="CQ109" s="131">
        <f>IF(CL109=0,0,-MIN(CP109,MIN(CP109,ROUND(IF(ROUND(IF(CL109=0,0,N109/CL109),2)&lt;STVPP*0.2,STVPP*0.2*CL109*Worksheet!$F$88/1000,N109*Worksheet!$F$88/1000),2))))</f>
        <v>-153493.29</v>
      </c>
      <c r="CR109" s="193">
        <f>-MIN(SUM(CP109,CQ109),IF($P109=0,(ROUND(Worksheet!$E$77*S109,2)+ROUND(Worksheet!$E$78*T109,2)+ROUND(Worksheet!$E$79*U109,2)+ROUND(Worksheet!$E$80*V109,2)+ROUND(Worksheet!$E$81*W109,2)+ROUND(Worksheet!$E$82*X109,2)),(ROUND(ROUND(S109*ROUND((1-$O109/$P109),4),2)*Worksheet!$E$77,2)+ROUND(ROUND(T109*ROUND((1-$O109/$P109),4),2)*Worksheet!$E$78,2)+ROUND(ROUND(U109*ROUND((1-$O109/$P109),4),2)*Worksheet!$E$79,2)+ROUND(ROUND(V109*ROUND((1-$O109/$P109),4),2)*Worksheet!$E$80,2)+ROUND(ROUND(W109*ROUND((1-$O109/$P109),4),2)*Worksheet!$E$81,2)+ROUND(ROUND(X109*ROUND((1-$O109/$P109),4),2)*Worksheet!$E$82,2))))</f>
        <v>-78416.26999999999</v>
      </c>
      <c r="CS109" s="192">
        <f t="shared" si="78"/>
        <v>2994154</v>
      </c>
      <c r="CT109" s="116">
        <f>ROUND(MIN(BA109,ROUND((ROUND(AS109*Worksheet!$E$104,2)+ROUND(AV109*Worksheet!$E$107,2)+ROUND(AT109*Worksheet!$E$105,2)+ROUND(AW109*Worksheet!$E$108,2)+ROUND(AU109*Worksheet!$E$106,2)+ROUND(AX109*Worksheet!$E$109,2)+ROUND(AY109*Worksheet!$E$110,2)+ROUND(AZ109*Worksheet!$E$111,2))*Worksheet!$D$114,2))*BaseRate,2)</f>
        <v>0</v>
      </c>
      <c r="CU109" s="121">
        <v>0</v>
      </c>
      <c r="CV109" s="121">
        <v>0</v>
      </c>
      <c r="CW109" s="121">
        <v>0</v>
      </c>
      <c r="CX109" s="121">
        <v>0</v>
      </c>
      <c r="CY109" s="121">
        <v>0</v>
      </c>
      <c r="DA109" s="192">
        <f t="shared" si="79"/>
        <v>0</v>
      </c>
      <c r="DB109" s="192">
        <f>MAX(-CT109,MIN(0,ROUND($R109*EFBPercent+EFBAdd,2)-$Q109),MIN(0,SUM($CS109:CS109)+MIN(0,ROUND($R109*EFBPercent+EFBAdd,2)-$Q109)))</f>
        <v>0</v>
      </c>
      <c r="DC109" s="192">
        <f>IF(CU109&lt;0,0,MAX(-CU109,MIN(0,ROUND($R109*EFBPercent+EFBAdd,2)-$Q109),MIN(0,SUM($CS109:CT109)+MIN(0,ROUND($R109*EFBPercent+EFBAdd,2)-$Q109))))</f>
        <v>0</v>
      </c>
      <c r="DD109" s="192">
        <f>IF(CV109&lt;0,0,MAX(-CV109,MIN(0,ROUND($R109*EFBPercent+EFBAdd,2)-$Q109),MIN(0,SUM($CS109:CU109)+MIN(0,ROUND($R109*EFBPercent+EFBAdd,2)-$Q109))))</f>
        <v>0</v>
      </c>
      <c r="DE109" s="192">
        <f>IF(CW109&lt;0,0,MAX(-CW109,MIN(0,ROUND($R109*EFBPercent+EFBAdd,2)-$Q109),MIN(0,SUM($CS109:CV109)+MIN(0,ROUND($R109*EFBPercent+EFBAdd,2)-$Q109))))</f>
        <v>0</v>
      </c>
      <c r="DF109" s="192">
        <f>IF(CX109&lt;0,0,MAX(-CX109,MIN(0,ROUND($R109*EFBPercent+EFBAdd,2)-$Q109),MIN(0,SUM($CS109:CW109)+MIN(0,ROUND($R109*EFBPercent+EFBAdd,2)-$Q109))))</f>
        <v>0</v>
      </c>
      <c r="DG109" s="192">
        <f>MAX(-CY109,MIN(0,ROUND($R109*EFBPercent+EFBAdd,2)-$Q109),MIN(0,SUM($CS109:CX109)+MIN(0,ROUND($R109*EFBPercent+EFBAdd,2)-$Q109)))</f>
        <v>0</v>
      </c>
      <c r="DI109" s="73">
        <f t="shared" si="80"/>
        <v>2994154</v>
      </c>
      <c r="DJ109" s="73">
        <f t="shared" si="81"/>
        <v>0</v>
      </c>
      <c r="DK109" s="73">
        <f t="shared" si="82"/>
        <v>0</v>
      </c>
      <c r="DL109" s="73">
        <f t="shared" si="83"/>
        <v>0</v>
      </c>
      <c r="DM109" s="73">
        <f t="shared" si="84"/>
        <v>0</v>
      </c>
      <c r="DN109" s="73">
        <f t="shared" si="85"/>
        <v>0</v>
      </c>
      <c r="DO109" s="73">
        <f t="shared" si="86"/>
        <v>0</v>
      </c>
      <c r="DP109" s="73"/>
      <c r="DQ109" s="73"/>
    </row>
    <row r="110" spans="1:121" ht="10.199999999999999" x14ac:dyDescent="0.2">
      <c r="A110" s="4" t="s">
        <v>583</v>
      </c>
      <c r="B110" s="188">
        <v>1063</v>
      </c>
      <c r="C110" s="189" t="s">
        <v>109</v>
      </c>
      <c r="D110" s="4">
        <v>2027</v>
      </c>
      <c r="E110" s="4" t="s">
        <v>422</v>
      </c>
      <c r="F110" s="4">
        <v>1</v>
      </c>
      <c r="G110" s="4" t="s">
        <v>671</v>
      </c>
      <c r="H110" s="4">
        <v>0</v>
      </c>
      <c r="I110" s="4" t="s">
        <v>1091</v>
      </c>
      <c r="J110" s="5">
        <v>6050453.5</v>
      </c>
      <c r="K110" s="5">
        <v>627.25</v>
      </c>
      <c r="L110" s="5">
        <v>302.86</v>
      </c>
      <c r="M110" s="5">
        <v>0</v>
      </c>
      <c r="N110" s="5">
        <v>18822733</v>
      </c>
      <c r="O110" s="5">
        <v>5.14</v>
      </c>
      <c r="P110" s="5">
        <v>84.36999999999999</v>
      </c>
      <c r="Q110" s="5">
        <v>0</v>
      </c>
      <c r="R110" s="5">
        <v>0</v>
      </c>
      <c r="S110" s="5">
        <v>1982.34</v>
      </c>
      <c r="T110" s="5">
        <v>684139.48</v>
      </c>
      <c r="U110" s="5">
        <v>95.89</v>
      </c>
      <c r="V110" s="5">
        <v>18164.080000000002</v>
      </c>
      <c r="W110" s="5">
        <v>8179.8700000000008</v>
      </c>
      <c r="X110" s="5">
        <v>28853.489999999998</v>
      </c>
      <c r="Y110" s="5">
        <v>2.6</v>
      </c>
      <c r="Z110" s="5">
        <v>40</v>
      </c>
      <c r="AA110" s="5">
        <v>267</v>
      </c>
      <c r="AB110" s="5">
        <v>95</v>
      </c>
      <c r="AC110" s="5">
        <v>165</v>
      </c>
      <c r="AD110" s="5">
        <v>0</v>
      </c>
      <c r="AE110" s="5">
        <v>1</v>
      </c>
      <c r="AF110" s="5">
        <v>1</v>
      </c>
      <c r="AG110" s="5">
        <v>2</v>
      </c>
      <c r="AH110" s="5">
        <v>0.19</v>
      </c>
      <c r="AI110" s="5">
        <v>0</v>
      </c>
      <c r="AJ110" s="5">
        <v>0</v>
      </c>
      <c r="AK110" s="5">
        <v>0</v>
      </c>
      <c r="AL110" s="5">
        <v>570.5</v>
      </c>
      <c r="AM110" s="5">
        <v>0</v>
      </c>
      <c r="AN110" s="5">
        <v>567</v>
      </c>
      <c r="AO110" s="5">
        <f t="shared" si="94"/>
        <v>3.5</v>
      </c>
      <c r="AP110" s="5">
        <f t="shared" si="101"/>
        <v>0</v>
      </c>
      <c r="AQ110" s="5">
        <v>4.84</v>
      </c>
      <c r="AR110" s="5">
        <v>0</v>
      </c>
      <c r="AS110" s="5">
        <v>0</v>
      </c>
      <c r="AT110" s="5">
        <v>79120</v>
      </c>
      <c r="AU110" s="5">
        <v>0</v>
      </c>
      <c r="AV110" s="5">
        <v>1720</v>
      </c>
      <c r="AW110" s="199">
        <v>302.86</v>
      </c>
      <c r="AX110" s="199">
        <v>3</v>
      </c>
      <c r="AY110" s="199">
        <v>0</v>
      </c>
      <c r="AZ110" s="199">
        <v>0</v>
      </c>
      <c r="BA110" s="5">
        <v>550416.13</v>
      </c>
      <c r="BB110" s="13">
        <v>1043142.66</v>
      </c>
      <c r="BC110" s="190">
        <f>MAX(ROUND(IF(F110&lt;4,IF(H110=0,(SUM(Y110:AD110)*Worksheet!$E$26+Y110*Worksheet!$E$27+AR110*Worksheet!$E$39)*-BaseRate,0)),2),MIN(0,-DI110))</f>
        <v>-588243.57999999996</v>
      </c>
      <c r="BD110" s="190">
        <f>MAX(ROUND(IF(F110=4,0,IF(I110=0,0,ROUND(SUM(Y110:AD110)*Worksheet!$E$28,2)*-BaseRate)),2),MIN(0,-DI110-BC110))</f>
        <v>-13261.62</v>
      </c>
      <c r="BE110" s="130">
        <f t="shared" si="87"/>
        <v>2518</v>
      </c>
      <c r="BF110" s="130">
        <f t="shared" si="88"/>
        <v>1403</v>
      </c>
      <c r="BG110" s="73"/>
      <c r="BH110" s="191">
        <f t="shared" si="89"/>
        <v>29234.66</v>
      </c>
      <c r="BI110" s="191">
        <f t="shared" si="90"/>
        <v>9646</v>
      </c>
      <c r="BJ110" s="232">
        <f>IFERROR(ROUND(IF(AND(BB110*1.12&lt;N110*60/1000,N110/CL110&lt;STVPP*0.2),(CL110*STVPP*0.2*Worksheet!$F$88/1000-BB110*1.12)*PropTaxAdj,IF(BB110*1.12&lt;N110*60/1000,(N110*60/1000-BB110*1.12)*PropTaxAdj,0)),2),0)</f>
        <v>0</v>
      </c>
      <c r="BK110" s="192">
        <f>ROUND(IF($F110=4,0,Y110*Worksheet!$E$16),2)</f>
        <v>2.6</v>
      </c>
      <c r="BL110" s="192">
        <f>ROUND(IF($F110=4,0,Z110*Worksheet!$E$17),2)</f>
        <v>40</v>
      </c>
      <c r="BM110" s="192">
        <f>ROUND(IF($F110=4,0,AA110*Worksheet!$E$18),2)</f>
        <v>267</v>
      </c>
      <c r="BN110" s="192">
        <f>ROUND(IF($F110=4,0,AB110*Worksheet!$E$19),2)</f>
        <v>95</v>
      </c>
      <c r="BO110" s="192">
        <f>ROUND(IF($F110=4,0,AC110*Worksheet!$E$20),2)</f>
        <v>165</v>
      </c>
      <c r="BP110" s="192">
        <f>ROUND(AD110*Worksheet!$E$21,2)</f>
        <v>0</v>
      </c>
      <c r="BQ110" s="192">
        <f t="shared" si="76"/>
        <v>569.6</v>
      </c>
      <c r="BR110" s="192">
        <f>ROUND(AD110*Worksheet!$E$25,2)</f>
        <v>0</v>
      </c>
      <c r="BS110" s="192">
        <f>ROUND(SUM(BQ110)*Worksheet!$E$26,2)</f>
        <v>50.12</v>
      </c>
      <c r="BT110" s="192">
        <f>ROUND(Y110*Worksheet!$E$27,2)</f>
        <v>0.44</v>
      </c>
      <c r="BU110" s="192">
        <f>ROUND(AO110*Worksheet!$E$29,2)</f>
        <v>3.5</v>
      </c>
      <c r="BV110" s="192">
        <f>ROUND(AP110*Worksheet!$E$30,2)</f>
        <v>0</v>
      </c>
      <c r="BW110" s="192">
        <f>ROUND(IF($I110&lt;&gt;0,$BQ110*Worksheet!$E$28,0),2)</f>
        <v>1.1399999999999999</v>
      </c>
      <c r="BX110" s="192">
        <f>ROUND(AE110*Worksheet!$E$31,2)</f>
        <v>0.4</v>
      </c>
      <c r="BY110" s="192">
        <f>ROUND(AF110*Worksheet!$E$32,2)</f>
        <v>0.28000000000000003</v>
      </c>
      <c r="BZ110" s="192">
        <f>ROUND(AG110*Worksheet!$E$33,2)</f>
        <v>0.14000000000000001</v>
      </c>
      <c r="CA110" s="192">
        <f>ROUND(ROUND(AH110*BQ110,2)*Worksheet!$E$34,2)</f>
        <v>2.71</v>
      </c>
      <c r="CB110" s="192">
        <f>ROUND(AI110*Worksheet!$E$35,2)</f>
        <v>0</v>
      </c>
      <c r="CC110" s="192">
        <f>ROUND(AJ110*Worksheet!$E$36,2)</f>
        <v>0</v>
      </c>
      <c r="CD110" s="192">
        <f>ROUND(AQ110*Worksheet!$E$38,2)</f>
        <v>2.9</v>
      </c>
      <c r="CE110" s="192">
        <f>ROUND(AR110*Worksheet!$E$39,2)</f>
        <v>0</v>
      </c>
      <c r="CF110" s="192">
        <f>IF(AND(L110&gt;275,SUM(Y110:AD110)&lt;100),ROUND(SUM(Y110:AD110)*Worksheet!$E$41,2),0)</f>
        <v>0</v>
      </c>
      <c r="CG110" s="192">
        <f>IF(AND(L110&gt;600,SUM(Y110:AD110)&lt;50),ROUND((50-SUM(Y110:AD110))*(Worksheet!$E$41+1),2),0)</f>
        <v>0</v>
      </c>
      <c r="CH110" s="192">
        <f t="shared" si="77"/>
        <v>631.23</v>
      </c>
      <c r="CI110" s="116">
        <f t="shared" si="95"/>
        <v>0</v>
      </c>
      <c r="CJ110" s="116">
        <f t="shared" si="96"/>
        <v>631.23</v>
      </c>
      <c r="CK110" s="95">
        <f t="shared" si="91"/>
        <v>1.02</v>
      </c>
      <c r="CL110" s="116">
        <f t="shared" si="97"/>
        <v>643.85</v>
      </c>
      <c r="CM110" s="116">
        <f t="shared" si="98"/>
        <v>643.85</v>
      </c>
      <c r="CN110" s="116">
        <f t="shared" si="92"/>
        <v>7489907.0499999998</v>
      </c>
      <c r="CO110" s="131">
        <f>ROUND(IF(F110=4,0,(MAX(ROUND(MAX((BI110*MIN(CL110,K110)*Worksheet!$D$126)+MAX(CL110-K110,0)*Worksheet!$F$50,SUM(J110)),2),SUM(CN110))-SUM(CN110))*MinAdj),2)</f>
        <v>0</v>
      </c>
      <c r="CP110" s="192">
        <f t="shared" si="93"/>
        <v>7489907.0499999998</v>
      </c>
      <c r="CQ110" s="131">
        <f>IF(CL110=0,0,-MIN(CP110,MIN(CP110,ROUND(IF(ROUND(IF(CL110=0,0,N110/CL110),2)&lt;STVPP*0.2,STVPP*0.2*CL110*Worksheet!$F$88/1000,N110*Worksheet!$F$88/1000),2))))</f>
        <v>-1129363.98</v>
      </c>
      <c r="CR110" s="193">
        <f>-MIN(SUM(CP110,CQ110),IF($P110=0,(ROUND(Worksheet!$E$77*S110,2)+ROUND(Worksheet!$E$78*T110,2)+ROUND(Worksheet!$E$79*U110,2)+ROUND(Worksheet!$E$80*V110,2)+ROUND(Worksheet!$E$81*W110,2)+ROUND(Worksheet!$E$82*X110,2)),(ROUND(ROUND(S110*ROUND((1-$O110/$P110),4),2)*Worksheet!$E$77,2)+ROUND(ROUND(T110*ROUND((1-$O110/$P110),4),2)*Worksheet!$E$78,2)+ROUND(ROUND(U110*ROUND((1-$O110/$P110),4),2)*Worksheet!$E$79,2)+ROUND(ROUND(V110*ROUND((1-$O110/$P110),4),2)*Worksheet!$E$80,2)+ROUND(ROUND(W110*ROUND((1-$O110/$P110),4),2)*Worksheet!$E$81,2)+ROUND(ROUND(X110*ROUND((1-$O110/$P110),4),2)*Worksheet!$E$82,2))))</f>
        <v>-522197.23999999987</v>
      </c>
      <c r="CS110" s="192">
        <f t="shared" si="78"/>
        <v>5838345.8300000001</v>
      </c>
      <c r="CT110" s="116">
        <f>ROUND(MIN(BA110,ROUND((ROUND(AS110*Worksheet!$E$104,2)+ROUND(AV110*Worksheet!$E$107,2)+ROUND(AT110*Worksheet!$E$105,2)+ROUND(AW110*Worksheet!$E$108,2)+ROUND(AU110*Worksheet!$E$106,2)+ROUND(AX110*Worksheet!$E$109,2)+ROUND(AY110*Worksheet!$E$110,2)+ROUND(AZ110*Worksheet!$E$111,2))*Worksheet!$D$114,2))*BaseRate,2)</f>
        <v>120517.88</v>
      </c>
      <c r="CU110" s="121">
        <v>0</v>
      </c>
      <c r="CV110" s="121">
        <v>0</v>
      </c>
      <c r="CW110" s="121">
        <v>0</v>
      </c>
      <c r="CX110" s="121">
        <v>0</v>
      </c>
      <c r="CY110" s="121">
        <v>0</v>
      </c>
      <c r="DA110" s="192">
        <f t="shared" si="79"/>
        <v>0</v>
      </c>
      <c r="DB110" s="192">
        <f>MAX(-CT110,MIN(0,ROUND($R110*EFBPercent+EFBAdd,2)-$Q110),MIN(0,SUM($CS110:CS110)+MIN(0,ROUND($R110*EFBPercent+EFBAdd,2)-$Q110)))</f>
        <v>0</v>
      </c>
      <c r="DC110" s="192">
        <f>IF(CU110&lt;0,0,MAX(-CU110,MIN(0,ROUND($R110*EFBPercent+EFBAdd,2)-$Q110),MIN(0,SUM($CS110:CT110)+MIN(0,ROUND($R110*EFBPercent+EFBAdd,2)-$Q110))))</f>
        <v>0</v>
      </c>
      <c r="DD110" s="192">
        <f>IF(CV110&lt;0,0,MAX(-CV110,MIN(0,ROUND($R110*EFBPercent+EFBAdd,2)-$Q110),MIN(0,SUM($CS110:CU110)+MIN(0,ROUND($R110*EFBPercent+EFBAdd,2)-$Q110))))</f>
        <v>0</v>
      </c>
      <c r="DE110" s="192">
        <f>IF(CW110&lt;0,0,MAX(-CW110,MIN(0,ROUND($R110*EFBPercent+EFBAdd,2)-$Q110),MIN(0,SUM($CS110:CV110)+MIN(0,ROUND($R110*EFBPercent+EFBAdd,2)-$Q110))))</f>
        <v>0</v>
      </c>
      <c r="DF110" s="192">
        <f>IF(CX110&lt;0,0,MAX(-CX110,MIN(0,ROUND($R110*EFBPercent+EFBAdd,2)-$Q110),MIN(0,SUM($CS110:CW110)+MIN(0,ROUND($R110*EFBPercent+EFBAdd,2)-$Q110))))</f>
        <v>0</v>
      </c>
      <c r="DG110" s="192">
        <f>MAX(-CY110,MIN(0,ROUND($R110*EFBPercent+EFBAdd,2)-$Q110),MIN(0,SUM($CS110:CX110)+MIN(0,ROUND($R110*EFBPercent+EFBAdd,2)-$Q110)))</f>
        <v>0</v>
      </c>
      <c r="DI110" s="73">
        <f t="shared" si="80"/>
        <v>5838345.8300000001</v>
      </c>
      <c r="DJ110" s="73">
        <f t="shared" si="81"/>
        <v>120517.88</v>
      </c>
      <c r="DK110" s="73">
        <f t="shared" si="82"/>
        <v>0</v>
      </c>
      <c r="DL110" s="73">
        <f t="shared" si="83"/>
        <v>0</v>
      </c>
      <c r="DM110" s="73">
        <f t="shared" si="84"/>
        <v>0</v>
      </c>
      <c r="DN110" s="73">
        <f t="shared" si="85"/>
        <v>0</v>
      </c>
      <c r="DO110" s="73">
        <f t="shared" si="86"/>
        <v>0</v>
      </c>
      <c r="DP110" s="73"/>
      <c r="DQ110" s="73"/>
    </row>
    <row r="111" spans="1:121" ht="10.199999999999999" x14ac:dyDescent="0.2">
      <c r="A111" s="4" t="s">
        <v>584</v>
      </c>
      <c r="B111" s="188">
        <v>1010</v>
      </c>
      <c r="C111" s="189" t="s">
        <v>110</v>
      </c>
      <c r="D111" s="4">
        <v>2027</v>
      </c>
      <c r="E111" s="4" t="s">
        <v>423</v>
      </c>
      <c r="F111" s="4">
        <v>1</v>
      </c>
      <c r="G111" s="4" t="s">
        <v>671</v>
      </c>
      <c r="H111" s="4">
        <v>0</v>
      </c>
      <c r="I111" s="4" t="s">
        <v>1091</v>
      </c>
      <c r="J111" s="5">
        <v>7571680.5299999993</v>
      </c>
      <c r="K111" s="5">
        <v>784.13</v>
      </c>
      <c r="L111" s="5">
        <v>681.5</v>
      </c>
      <c r="M111" s="5">
        <v>0</v>
      </c>
      <c r="N111" s="5">
        <v>35876505</v>
      </c>
      <c r="O111" s="5">
        <v>14.36</v>
      </c>
      <c r="P111" s="5">
        <v>95.09</v>
      </c>
      <c r="Q111" s="5">
        <v>0</v>
      </c>
      <c r="R111" s="5">
        <v>0</v>
      </c>
      <c r="S111" s="5">
        <v>0</v>
      </c>
      <c r="T111" s="5">
        <v>988103.03</v>
      </c>
      <c r="U111" s="5">
        <v>92.58</v>
      </c>
      <c r="V111" s="5">
        <v>121184.81</v>
      </c>
      <c r="W111" s="5">
        <v>36477.490000000005</v>
      </c>
      <c r="X111" s="5">
        <v>42720.480000000003</v>
      </c>
      <c r="Y111" s="5">
        <v>7.13</v>
      </c>
      <c r="Z111" s="5">
        <v>56</v>
      </c>
      <c r="AA111" s="5">
        <v>350</v>
      </c>
      <c r="AB111" s="5">
        <v>105</v>
      </c>
      <c r="AC111" s="5">
        <v>209</v>
      </c>
      <c r="AD111" s="5">
        <v>0</v>
      </c>
      <c r="AE111" s="5">
        <v>0</v>
      </c>
      <c r="AF111" s="5">
        <v>1</v>
      </c>
      <c r="AG111" s="5">
        <v>4</v>
      </c>
      <c r="AH111" s="5">
        <v>0.222</v>
      </c>
      <c r="AI111" s="5">
        <v>0.81</v>
      </c>
      <c r="AJ111" s="5">
        <v>0</v>
      </c>
      <c r="AK111" s="5">
        <v>0</v>
      </c>
      <c r="AL111" s="5">
        <v>722.5</v>
      </c>
      <c r="AM111" s="5">
        <v>4.4200000000000728</v>
      </c>
      <c r="AN111" s="5">
        <v>720</v>
      </c>
      <c r="AO111" s="5">
        <f t="shared" si="94"/>
        <v>2.5</v>
      </c>
      <c r="AP111" s="5">
        <f t="shared" si="101"/>
        <v>0</v>
      </c>
      <c r="AQ111" s="5">
        <v>5.78</v>
      </c>
      <c r="AR111" s="5">
        <v>0</v>
      </c>
      <c r="AS111" s="5">
        <v>0</v>
      </c>
      <c r="AT111" s="5">
        <v>145464</v>
      </c>
      <c r="AU111" s="5">
        <v>0</v>
      </c>
      <c r="AV111" s="5">
        <v>2784</v>
      </c>
      <c r="AW111" s="199">
        <v>681.5</v>
      </c>
      <c r="AX111" s="199">
        <v>3</v>
      </c>
      <c r="AY111" s="199">
        <v>0</v>
      </c>
      <c r="AZ111" s="199">
        <v>0</v>
      </c>
      <c r="BA111" s="5">
        <v>589888.78</v>
      </c>
      <c r="BB111" s="13">
        <v>1938640.02</v>
      </c>
      <c r="BC111" s="190">
        <f>MAX(ROUND(IF(F111&lt;4,IF(H111=0,(SUM(Y111:AD111)*Worksheet!$E$26+Y111*Worksheet!$E$27+AR111*Worksheet!$E$39)*-BaseRate,0)),2),MIN(0,-DI111))</f>
        <v>-758466.25</v>
      </c>
      <c r="BD111" s="190">
        <f>MAX(ROUND(IF(F111=4,0,IF(I111=0,0,ROUND(SUM(Y111:AD111)*Worksheet!$E$28,2)*-BaseRate)),2),MIN(0,-DI111-BC111))</f>
        <v>-16867.849999999999</v>
      </c>
      <c r="BE111" s="130">
        <f t="shared" si="87"/>
        <v>2518</v>
      </c>
      <c r="BF111" s="130">
        <f t="shared" si="88"/>
        <v>1403</v>
      </c>
      <c r="BG111" s="73"/>
      <c r="BH111" s="191">
        <f t="shared" si="89"/>
        <v>44152.44</v>
      </c>
      <c r="BI111" s="191">
        <f t="shared" si="90"/>
        <v>9656.15</v>
      </c>
      <c r="BJ111" s="232">
        <f>IFERROR(ROUND(IF(AND(BB111*1.12&lt;N111*60/1000,N111/CL111&lt;STVPP*0.2),(CL111*STVPP*0.2*Worksheet!$F$88/1000-BB111*1.12)*PropTaxAdj,IF(BB111*1.12&lt;N111*60/1000,(N111*60/1000-BB111*1.12)*PropTaxAdj,0)),2),0)</f>
        <v>0</v>
      </c>
      <c r="BK111" s="192">
        <f>ROUND(IF($F111=4,0,Y111*Worksheet!$E$16),2)</f>
        <v>7.13</v>
      </c>
      <c r="BL111" s="192">
        <f>ROUND(IF($F111=4,0,Z111*Worksheet!$E$17),2)</f>
        <v>56</v>
      </c>
      <c r="BM111" s="192">
        <f>ROUND(IF($F111=4,0,AA111*Worksheet!$E$18),2)</f>
        <v>350</v>
      </c>
      <c r="BN111" s="192">
        <f>ROUND(IF($F111=4,0,AB111*Worksheet!$E$19),2)</f>
        <v>105</v>
      </c>
      <c r="BO111" s="192">
        <f>ROUND(IF($F111=4,0,AC111*Worksheet!$E$20),2)</f>
        <v>209</v>
      </c>
      <c r="BP111" s="192">
        <f>ROUND(AD111*Worksheet!$E$21,2)</f>
        <v>0</v>
      </c>
      <c r="BQ111" s="192">
        <f t="shared" si="76"/>
        <v>727.13</v>
      </c>
      <c r="BR111" s="192">
        <f>ROUND(AD111*Worksheet!$E$25,2)</f>
        <v>0</v>
      </c>
      <c r="BS111" s="192">
        <f>ROUND(SUM(BQ111)*Worksheet!$E$26,2)</f>
        <v>63.99</v>
      </c>
      <c r="BT111" s="192">
        <f>ROUND(Y111*Worksheet!$E$27,2)</f>
        <v>1.21</v>
      </c>
      <c r="BU111" s="192">
        <f>ROUND(AO111*Worksheet!$E$29,2)</f>
        <v>2.5</v>
      </c>
      <c r="BV111" s="192">
        <f>ROUND(AP111*Worksheet!$E$30,2)</f>
        <v>0</v>
      </c>
      <c r="BW111" s="192">
        <f>ROUND(IF($I111&lt;&gt;0,$BQ111*Worksheet!$E$28,0),2)</f>
        <v>1.45</v>
      </c>
      <c r="BX111" s="192">
        <f>ROUND(AE111*Worksheet!$E$31,2)</f>
        <v>0</v>
      </c>
      <c r="BY111" s="192">
        <f>ROUND(AF111*Worksheet!$E$32,2)</f>
        <v>0.28000000000000003</v>
      </c>
      <c r="BZ111" s="192">
        <f>ROUND(AG111*Worksheet!$E$33,2)</f>
        <v>0.28000000000000003</v>
      </c>
      <c r="CA111" s="192">
        <f>ROUND(ROUND(AH111*BQ111,2)*Worksheet!$E$34,2)</f>
        <v>4.04</v>
      </c>
      <c r="CB111" s="192">
        <f>ROUND(AI111*Worksheet!$E$35,2)</f>
        <v>0.16</v>
      </c>
      <c r="CC111" s="192">
        <f>ROUND(AJ111*Worksheet!$E$36,2)</f>
        <v>0</v>
      </c>
      <c r="CD111" s="192">
        <f>ROUND(AQ111*Worksheet!$E$38,2)</f>
        <v>3.47</v>
      </c>
      <c r="CE111" s="192">
        <f>ROUND(AR111*Worksheet!$E$39,2)</f>
        <v>0</v>
      </c>
      <c r="CF111" s="192">
        <f>IF(AND(L111&gt;275,SUM(Y111:AD111)&lt;100),ROUND(SUM(Y111:AD111)*Worksheet!$E$41,2),0)</f>
        <v>0</v>
      </c>
      <c r="CG111" s="192">
        <f>IF(AND(L111&gt;600,SUM(Y111:AD111)&lt;50),ROUND((50-SUM(Y111:AD111))*(Worksheet!$E$41+1),2),0)</f>
        <v>0</v>
      </c>
      <c r="CH111" s="192">
        <f t="shared" si="77"/>
        <v>804.51</v>
      </c>
      <c r="CI111" s="116">
        <f t="shared" si="95"/>
        <v>0</v>
      </c>
      <c r="CJ111" s="116">
        <f t="shared" si="96"/>
        <v>804.51</v>
      </c>
      <c r="CK111" s="95">
        <f t="shared" si="91"/>
        <v>1.01</v>
      </c>
      <c r="CL111" s="116">
        <f t="shared" si="97"/>
        <v>812.56</v>
      </c>
      <c r="CM111" s="116">
        <f t="shared" si="98"/>
        <v>812.56</v>
      </c>
      <c r="CN111" s="116">
        <f t="shared" si="92"/>
        <v>9452510.4800000004</v>
      </c>
      <c r="CO111" s="131">
        <f>ROUND(IF(F111=4,0,(MAX(ROUND(MAX((BI111*MIN(CL111,K111)*Worksheet!$D$126)+MAX(CL111-K111,0)*Worksheet!$F$50,SUM(J111)),2),SUM(CN111))-SUM(CN111))*MinAdj),2)</f>
        <v>0</v>
      </c>
      <c r="CP111" s="192">
        <f t="shared" si="93"/>
        <v>9452510.4800000004</v>
      </c>
      <c r="CQ111" s="131">
        <f>IF(CL111=0,0,-MIN(CP111,MIN(CP111,ROUND(IF(ROUND(IF(CL111=0,0,N111/CL111),2)&lt;STVPP*0.2,STVPP*0.2*CL111*Worksheet!$F$88/1000,N111*Worksheet!$F$88/1000),2))))</f>
        <v>-2152590.2999999998</v>
      </c>
      <c r="CR111" s="193">
        <f>-MIN(SUM(CP111,CQ111),IF($P111=0,(ROUND(Worksheet!$E$77*S111,2)+ROUND(Worksheet!$E$78*T111,2)+ROUND(Worksheet!$E$79*U111,2)+ROUND(Worksheet!$E$80*V111,2)+ROUND(Worksheet!$E$81*W111,2)+ROUND(Worksheet!$E$82*X111,2)),(ROUND(ROUND(S111*ROUND((1-$O111/$P111),4),2)*Worksheet!$E$77,2)+ROUND(ROUND(T111*ROUND((1-$O111/$P111),4),2)*Worksheet!$E$78,2)+ROUND(ROUND(U111*ROUND((1-$O111/$P111),4),2)*Worksheet!$E$79,2)+ROUND(ROUND(V111*ROUND((1-$O111/$P111),4),2)*Worksheet!$E$80,2)+ROUND(ROUND(W111*ROUND((1-$O111/$P111),4),2)*Worksheet!$E$81,2)+ROUND(ROUND(X111*ROUND((1-$O111/$P111),4),2)*Worksheet!$E$82,2))))</f>
        <v>-756827.29</v>
      </c>
      <c r="CS111" s="192">
        <f t="shared" si="78"/>
        <v>6543092.8900000006</v>
      </c>
      <c r="CT111" s="116">
        <f>ROUND(MIN(BA111,ROUND((ROUND(AS111*Worksheet!$E$104,2)+ROUND(AV111*Worksheet!$E$107,2)+ROUND(AT111*Worksheet!$E$105,2)+ROUND(AW111*Worksheet!$E$108,2)+ROUND(AU111*Worksheet!$E$106,2)+ROUND(AX111*Worksheet!$E$109,2)+ROUND(AY111*Worksheet!$E$110,2)+ROUND(AZ111*Worksheet!$E$111,2))*Worksheet!$D$114,2))*BaseRate,2)</f>
        <v>213814.54</v>
      </c>
      <c r="CU111" s="121">
        <v>0</v>
      </c>
      <c r="CV111" s="121">
        <v>0</v>
      </c>
      <c r="CW111" s="121">
        <v>0</v>
      </c>
      <c r="CX111" s="121">
        <v>0</v>
      </c>
      <c r="CY111" s="121">
        <v>0</v>
      </c>
      <c r="DA111" s="192">
        <f t="shared" si="79"/>
        <v>0</v>
      </c>
      <c r="DB111" s="192">
        <f>MAX(-CT111,MIN(0,ROUND($R111*EFBPercent+EFBAdd,2)-$Q111),MIN(0,SUM($CS111:CS111)+MIN(0,ROUND($R111*EFBPercent+EFBAdd,2)-$Q111)))</f>
        <v>0</v>
      </c>
      <c r="DC111" s="192">
        <f>IF(CU111&lt;0,0,MAX(-CU111,MIN(0,ROUND($R111*EFBPercent+EFBAdd,2)-$Q111),MIN(0,SUM($CS111:CT111)+MIN(0,ROUND($R111*EFBPercent+EFBAdd,2)-$Q111))))</f>
        <v>0</v>
      </c>
      <c r="DD111" s="192">
        <f>IF(CV111&lt;0,0,MAX(-CV111,MIN(0,ROUND($R111*EFBPercent+EFBAdd,2)-$Q111),MIN(0,SUM($CS111:CU111)+MIN(0,ROUND($R111*EFBPercent+EFBAdd,2)-$Q111))))</f>
        <v>0</v>
      </c>
      <c r="DE111" s="192">
        <f>IF(CW111&lt;0,0,MAX(-CW111,MIN(0,ROUND($R111*EFBPercent+EFBAdd,2)-$Q111),MIN(0,SUM($CS111:CV111)+MIN(0,ROUND($R111*EFBPercent+EFBAdd,2)-$Q111))))</f>
        <v>0</v>
      </c>
      <c r="DF111" s="192">
        <f>IF(CX111&lt;0,0,MAX(-CX111,MIN(0,ROUND($R111*EFBPercent+EFBAdd,2)-$Q111),MIN(0,SUM($CS111:CW111)+MIN(0,ROUND($R111*EFBPercent+EFBAdd,2)-$Q111))))</f>
        <v>0</v>
      </c>
      <c r="DG111" s="192">
        <f>MAX(-CY111,MIN(0,ROUND($R111*EFBPercent+EFBAdd,2)-$Q111),MIN(0,SUM($CS111:CX111)+MIN(0,ROUND($R111*EFBPercent+EFBAdd,2)-$Q111)))</f>
        <v>0</v>
      </c>
      <c r="DI111" s="73">
        <f t="shared" si="80"/>
        <v>6543092.8900000006</v>
      </c>
      <c r="DJ111" s="73">
        <f t="shared" si="81"/>
        <v>213814.54</v>
      </c>
      <c r="DK111" s="73">
        <f t="shared" si="82"/>
        <v>0</v>
      </c>
      <c r="DL111" s="73">
        <f t="shared" si="83"/>
        <v>0</v>
      </c>
      <c r="DM111" s="73">
        <f t="shared" si="84"/>
        <v>0</v>
      </c>
      <c r="DN111" s="73">
        <f t="shared" si="85"/>
        <v>0</v>
      </c>
      <c r="DO111" s="73">
        <f t="shared" si="86"/>
        <v>0</v>
      </c>
      <c r="DP111" s="73"/>
      <c r="DQ111" s="73"/>
    </row>
    <row r="112" spans="1:121" ht="10.199999999999999" x14ac:dyDescent="0.2">
      <c r="A112" s="4" t="s">
        <v>671</v>
      </c>
      <c r="B112" s="188">
        <v>2518</v>
      </c>
      <c r="C112" s="189" t="s">
        <v>190</v>
      </c>
      <c r="D112" s="4">
        <v>2027</v>
      </c>
      <c r="E112" s="4" t="s">
        <v>1039</v>
      </c>
      <c r="F112" s="4">
        <v>7</v>
      </c>
      <c r="G112" s="4" t="s">
        <v>671</v>
      </c>
      <c r="H112" s="4">
        <v>100</v>
      </c>
      <c r="I112" s="4">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f t="shared" si="94"/>
        <v>0</v>
      </c>
      <c r="AP112" s="5">
        <v>0</v>
      </c>
      <c r="AQ112" s="5">
        <v>0</v>
      </c>
      <c r="AR112" s="5">
        <v>0</v>
      </c>
      <c r="AS112" s="5">
        <v>0</v>
      </c>
      <c r="AT112" s="5">
        <v>0</v>
      </c>
      <c r="AU112" s="5">
        <v>0</v>
      </c>
      <c r="AV112" s="5">
        <v>0</v>
      </c>
      <c r="AW112" s="199">
        <v>0</v>
      </c>
      <c r="AX112" s="199">
        <v>0</v>
      </c>
      <c r="AY112" s="199">
        <v>0</v>
      </c>
      <c r="AZ112" s="199">
        <v>0</v>
      </c>
      <c r="BA112" s="5">
        <v>2804.4</v>
      </c>
      <c r="BB112" s="13">
        <v>0</v>
      </c>
      <c r="BC112" s="190">
        <f>MAX(ROUND(IF(F112&lt;4,IF(H112=0,(SUM(Y112:AD112)*Worksheet!$E$26+Y112*Worksheet!$E$27+AR112*Worksheet!$E$39)*-BaseRate,0)),2),MIN(0,-DI112))</f>
        <v>0</v>
      </c>
      <c r="BD112" s="190">
        <f>MAX(ROUND(IF(F112=4,0,IF(I112=0,0,ROUND(SUM(Y112:AD112)*Worksheet!$E$28,2)*-BaseRate)),2),MIN(0,-DI112-BC112))</f>
        <v>0</v>
      </c>
      <c r="BE112" s="130">
        <f t="shared" si="87"/>
        <v>0</v>
      </c>
      <c r="BF112" s="130">
        <f t="shared" si="88"/>
        <v>0</v>
      </c>
      <c r="BG112" s="73"/>
      <c r="BH112" s="191">
        <f t="shared" si="89"/>
        <v>0</v>
      </c>
      <c r="BI112" s="191">
        <f t="shared" si="90"/>
        <v>0</v>
      </c>
      <c r="BJ112" s="232">
        <f>IFERROR(ROUND(IF(AND(BB112*1.12&lt;N112*60/1000,N112/CL112&lt;STVPP*0.2),(CL112*STVPP*0.2*Worksheet!$F$88/1000-BB112*1.12)*PropTaxAdj,IF(BB112*1.12&lt;N112*60/1000,(N112*60/1000-BB112*1.12)*PropTaxAdj,0)),2),0)</f>
        <v>0</v>
      </c>
      <c r="BK112" s="192">
        <f>ROUND(IF($F112=4,0,Y112*Worksheet!$E$16),2)</f>
        <v>0</v>
      </c>
      <c r="BL112" s="192">
        <f>ROUND(IF($F112=4,0,Z112*Worksheet!$E$17),2)</f>
        <v>0</v>
      </c>
      <c r="BM112" s="192">
        <f>ROUND(IF($F112=4,0,AA112*Worksheet!$E$18),2)</f>
        <v>0</v>
      </c>
      <c r="BN112" s="192">
        <f>ROUND(IF($F112=4,0,AB112*Worksheet!$E$19),2)</f>
        <v>0</v>
      </c>
      <c r="BO112" s="192">
        <f>ROUND(IF($F112=4,0,AC112*Worksheet!$E$20),2)</f>
        <v>0</v>
      </c>
      <c r="BP112" s="192">
        <f>ROUND(AD112*Worksheet!$E$21,2)</f>
        <v>0</v>
      </c>
      <c r="BQ112" s="192">
        <f t="shared" si="76"/>
        <v>0</v>
      </c>
      <c r="BR112" s="192">
        <f>ROUND(AD112*Worksheet!$E$25,2)</f>
        <v>0</v>
      </c>
      <c r="BS112" s="192">
        <f>ROUND(SUM(BQ112)*Worksheet!$E$26,2)</f>
        <v>0</v>
      </c>
      <c r="BT112" s="192">
        <f>ROUND(Y112*Worksheet!$E$27,2)</f>
        <v>0</v>
      </c>
      <c r="BU112" s="192">
        <f>ROUND(AO112*Worksheet!$E$29,2)</f>
        <v>0</v>
      </c>
      <c r="BV112" s="192">
        <f>ROUND(AP112*Worksheet!$E$30,2)</f>
        <v>0</v>
      </c>
      <c r="BW112" s="192">
        <f>ROUND(IF($I112&lt;&gt;0,$BQ112*Worksheet!$E$28,0),2)</f>
        <v>0</v>
      </c>
      <c r="BX112" s="192">
        <f>ROUND(AE112*Worksheet!$E$31,2)</f>
        <v>0</v>
      </c>
      <c r="BY112" s="192">
        <f>ROUND(AF112*Worksheet!$E$32,2)</f>
        <v>0</v>
      </c>
      <c r="BZ112" s="192">
        <f>ROUND(AG112*Worksheet!$E$33,2)</f>
        <v>0</v>
      </c>
      <c r="CA112" s="192">
        <f>ROUND(ROUND(AH112*BQ112,2)*Worksheet!$E$34,2)</f>
        <v>0</v>
      </c>
      <c r="CB112" s="192">
        <f>ROUND(AI112*Worksheet!$E$35,2)</f>
        <v>0</v>
      </c>
      <c r="CC112" s="192">
        <f>ROUND(AJ112*Worksheet!$E$36,2)</f>
        <v>0</v>
      </c>
      <c r="CD112" s="192">
        <f>ROUND(AQ112*Worksheet!$E$38,2)</f>
        <v>0</v>
      </c>
      <c r="CE112" s="192">
        <f>ROUND(AR112*Worksheet!$E$39,2)</f>
        <v>0</v>
      </c>
      <c r="CF112" s="192">
        <f>IF(AND(L112&gt;275,SUM(Y112:AD112)&lt;100),ROUND(SUM(Y112:AD112)*Worksheet!$E$41,2),0)</f>
        <v>0</v>
      </c>
      <c r="CG112" s="192">
        <f>IF(AND(L112&gt;600,SUM(Y112:AD112)&lt;50),ROUND((50-SUM(Y112:AD112))*(Worksheet!$E$41+1),2),0)</f>
        <v>0</v>
      </c>
      <c r="CH112" s="192">
        <f t="shared" si="77"/>
        <v>0</v>
      </c>
      <c r="CI112" s="116">
        <f t="shared" si="95"/>
        <v>0</v>
      </c>
      <c r="CJ112" s="116">
        <f t="shared" si="96"/>
        <v>0</v>
      </c>
      <c r="CK112" s="95">
        <f t="shared" si="91"/>
        <v>0</v>
      </c>
      <c r="CL112" s="116">
        <f t="shared" si="97"/>
        <v>0</v>
      </c>
      <c r="CM112" s="116">
        <f t="shared" si="98"/>
        <v>0</v>
      </c>
      <c r="CN112" s="116">
        <f t="shared" si="92"/>
        <v>0</v>
      </c>
      <c r="CO112" s="131">
        <f>ROUND(IF(F112=4,0,(MAX(ROUND(MAX((BI112*MIN(CL112,K112)*Worksheet!$D$126)+MAX(CL112-K112,0)*Worksheet!$F$50,SUM(J112)),2),SUM(CN112))-SUM(CN112))*MinAdj),2)</f>
        <v>0</v>
      </c>
      <c r="CP112" s="192">
        <f t="shared" si="93"/>
        <v>0</v>
      </c>
      <c r="CQ112" s="131">
        <f>IF(CL112=0,0,-MIN(CP112,MIN(CP112,ROUND(IF(ROUND(IF(CL112=0,0,N112/CL112),2)&lt;STVPP*0.2,STVPP*0.2*CL112*Worksheet!$F$88/1000,N112*Worksheet!$F$88/1000),2))))</f>
        <v>0</v>
      </c>
      <c r="CR112" s="193">
        <f>-MIN(SUM(CP112,CQ112),IF($P112=0,(ROUND(Worksheet!$E$77*S112,2)+ROUND(Worksheet!$E$78*T112,2)+ROUND(Worksheet!$E$79*U112,2)+ROUND(Worksheet!$E$80*V112,2)+ROUND(Worksheet!$E$81*W112,2)+ROUND(Worksheet!$E$82*X112,2)),(ROUND(ROUND(S112*ROUND((1-$O112/$P112),4),2)*Worksheet!$E$77,2)+ROUND(ROUND(T112*ROUND((1-$O112/$P112),4),2)*Worksheet!$E$78,2)+ROUND(ROUND(U112*ROUND((1-$O112/$P112),4),2)*Worksheet!$E$79,2)+ROUND(ROUND(V112*ROUND((1-$O112/$P112),4),2)*Worksheet!$E$80,2)+ROUND(ROUND(W112*ROUND((1-$O112/$P112),4),2)*Worksheet!$E$81,2)+ROUND(ROUND(X112*ROUND((1-$O112/$P112),4),2)*Worksheet!$E$82,2))))</f>
        <v>0</v>
      </c>
      <c r="CS112" s="192">
        <f t="shared" si="78"/>
        <v>0</v>
      </c>
      <c r="CT112" s="116">
        <f>ROUND(MIN(BA112,ROUND((ROUND(AS112*Worksheet!$E$104,2)+ROUND(AV112*Worksheet!$E$107,2)+ROUND(AT112*Worksheet!$E$105,2)+ROUND(AW112*Worksheet!$E$108,2)+ROUND(AU112*Worksheet!$E$106,2)+ROUND(AX112*Worksheet!$E$109,2)+ROUND(AY112*Worksheet!$E$110,2)+ROUND(AZ112*Worksheet!$E$111,2))*Worksheet!$D$114,2))*BaseRate,2)</f>
        <v>0</v>
      </c>
      <c r="CU112" s="121">
        <v>0</v>
      </c>
      <c r="CV112" s="121">
        <v>0</v>
      </c>
      <c r="CW112" s="121">
        <v>0</v>
      </c>
      <c r="CX112" s="121">
        <v>0</v>
      </c>
      <c r="CY112" s="121">
        <v>0</v>
      </c>
      <c r="DA112" s="192">
        <f t="shared" si="79"/>
        <v>0</v>
      </c>
      <c r="DB112" s="192">
        <f>MAX(-CT112,MIN(0,ROUND($R112*EFBPercent+EFBAdd,2)-$Q112),MIN(0,SUM($CS112:CS112)+MIN(0,ROUND($R112*EFBPercent+EFBAdd,2)-$Q112)))</f>
        <v>0</v>
      </c>
      <c r="DC112" s="192">
        <f>IF(CU112&lt;0,0,MAX(-CU112,MIN(0,ROUND($R112*EFBPercent+EFBAdd,2)-$Q112),MIN(0,SUM($CS112:CT112)+MIN(0,ROUND($R112*EFBPercent+EFBAdd,2)-$Q112))))</f>
        <v>0</v>
      </c>
      <c r="DD112" s="192">
        <f>IF(CV112&lt;0,0,MAX(-CV112,MIN(0,ROUND($R112*EFBPercent+EFBAdd,2)-$Q112),MIN(0,SUM($CS112:CU112)+MIN(0,ROUND($R112*EFBPercent+EFBAdd,2)-$Q112))))</f>
        <v>0</v>
      </c>
      <c r="DE112" s="192">
        <f>IF(CW112&lt;0,0,MAX(-CW112,MIN(0,ROUND($R112*EFBPercent+EFBAdd,2)-$Q112),MIN(0,SUM($CS112:CV112)+MIN(0,ROUND($R112*EFBPercent+EFBAdd,2)-$Q112))))</f>
        <v>0</v>
      </c>
      <c r="DF112" s="192">
        <f>IF(CX112&lt;0,0,MAX(-CX112,MIN(0,ROUND($R112*EFBPercent+EFBAdd,2)-$Q112),MIN(0,SUM($CS112:CW112)+MIN(0,ROUND($R112*EFBPercent+EFBAdd,2)-$Q112))))</f>
        <v>0</v>
      </c>
      <c r="DG112" s="192">
        <f>MAX(-CY112,MIN(0,ROUND($R112*EFBPercent+EFBAdd,2)-$Q112),MIN(0,SUM($CS112:CX112)+MIN(0,ROUND($R112*EFBPercent+EFBAdd,2)-$Q112)))</f>
        <v>0</v>
      </c>
      <c r="DI112" s="73">
        <f t="shared" si="80"/>
        <v>0</v>
      </c>
      <c r="DJ112" s="73">
        <f t="shared" si="81"/>
        <v>0</v>
      </c>
      <c r="DK112" s="73">
        <f t="shared" si="82"/>
        <v>0</v>
      </c>
      <c r="DL112" s="73">
        <f t="shared" si="83"/>
        <v>0</v>
      </c>
      <c r="DM112" s="73">
        <f t="shared" si="84"/>
        <v>0</v>
      </c>
      <c r="DN112" s="73">
        <f t="shared" si="85"/>
        <v>0</v>
      </c>
      <c r="DO112" s="73">
        <f t="shared" si="86"/>
        <v>0</v>
      </c>
      <c r="DP112" s="73"/>
      <c r="DQ112" s="73"/>
    </row>
    <row r="113" spans="1:121" ht="10.199999999999999" x14ac:dyDescent="0.2">
      <c r="A113" s="4" t="s">
        <v>585</v>
      </c>
      <c r="B113" s="188">
        <v>1089</v>
      </c>
      <c r="C113" s="189" t="s">
        <v>111</v>
      </c>
      <c r="D113" s="4">
        <v>2027</v>
      </c>
      <c r="E113" s="4" t="s">
        <v>424</v>
      </c>
      <c r="F113" s="4">
        <v>1</v>
      </c>
      <c r="G113" s="4" t="s">
        <v>672</v>
      </c>
      <c r="H113" s="4">
        <v>100</v>
      </c>
      <c r="I113" s="4" t="s">
        <v>1091</v>
      </c>
      <c r="J113" s="5">
        <v>40301952.600000001</v>
      </c>
      <c r="K113" s="5">
        <v>4178.1000000000004</v>
      </c>
      <c r="L113" s="5">
        <v>907.78</v>
      </c>
      <c r="M113" s="5">
        <v>0</v>
      </c>
      <c r="N113" s="5">
        <v>203646012</v>
      </c>
      <c r="O113" s="5">
        <v>35.71</v>
      </c>
      <c r="P113" s="5">
        <v>128.13999999999999</v>
      </c>
      <c r="Q113" s="5">
        <v>0</v>
      </c>
      <c r="R113" s="5">
        <v>0</v>
      </c>
      <c r="S113" s="5">
        <v>17308.430000000051</v>
      </c>
      <c r="T113" s="5">
        <v>88144.75</v>
      </c>
      <c r="U113" s="5">
        <v>0</v>
      </c>
      <c r="V113" s="5">
        <v>285478.81</v>
      </c>
      <c r="W113" s="5">
        <v>154839.82</v>
      </c>
      <c r="X113" s="5">
        <v>97547.34</v>
      </c>
      <c r="Y113" s="5">
        <v>63.09</v>
      </c>
      <c r="Z113" s="5">
        <v>301</v>
      </c>
      <c r="AA113" s="5">
        <v>2126</v>
      </c>
      <c r="AB113" s="5">
        <v>720</v>
      </c>
      <c r="AC113" s="5">
        <v>1177.33</v>
      </c>
      <c r="AD113" s="5">
        <v>74.67</v>
      </c>
      <c r="AE113" s="5">
        <v>18.8</v>
      </c>
      <c r="AF113" s="5">
        <v>16.560000000000002</v>
      </c>
      <c r="AG113" s="5">
        <v>55.279999999999994</v>
      </c>
      <c r="AH113" s="5">
        <v>0.36099999999999999</v>
      </c>
      <c r="AI113" s="5">
        <v>1.39</v>
      </c>
      <c r="AJ113" s="5">
        <v>0</v>
      </c>
      <c r="AK113" s="5">
        <v>75.900000000000006</v>
      </c>
      <c r="AL113" s="5">
        <v>4402.96</v>
      </c>
      <c r="AM113" s="5">
        <v>25.309999999999491</v>
      </c>
      <c r="AN113" s="5">
        <v>4399</v>
      </c>
      <c r="AO113" s="5">
        <f t="shared" si="94"/>
        <v>3.9600000000000364</v>
      </c>
      <c r="AP113" s="5">
        <f t="shared" ref="AP113:AP119" si="102">IF(AM113&gt;0,SUM(Z113:AD113)-AN113,0)</f>
        <v>0</v>
      </c>
      <c r="AQ113" s="5">
        <v>140.36000000000001</v>
      </c>
      <c r="AR113" s="5">
        <v>2.3199999999999998</v>
      </c>
      <c r="AS113" s="5">
        <v>0</v>
      </c>
      <c r="AT113" s="5">
        <v>323929</v>
      </c>
      <c r="AU113" s="5">
        <v>0</v>
      </c>
      <c r="AV113" s="5">
        <v>10187</v>
      </c>
      <c r="AW113" s="199">
        <v>907.78</v>
      </c>
      <c r="AX113" s="199">
        <v>10</v>
      </c>
      <c r="AY113" s="199">
        <v>0</v>
      </c>
      <c r="AZ113" s="199">
        <v>0</v>
      </c>
      <c r="BA113" s="5">
        <v>2422342.14</v>
      </c>
      <c r="BB113" s="13">
        <v>11663348.460000001</v>
      </c>
      <c r="BC113" s="190">
        <f>MAX(ROUND(IF(F113&lt;4,IF(H113=0,(SUM(Y113:AD113)*Worksheet!$E$26+Y113*Worksheet!$E$27+AR113*Worksheet!$E$39)*-BaseRate,0)),2),MIN(0,-DI113))</f>
        <v>0</v>
      </c>
      <c r="BD113" s="190">
        <f>MAX(ROUND(IF(F113=4,0,IF(I113=0,0,ROUND(SUM(Y113:AD113)*Worksheet!$E$28,2)*-BaseRate)),2),MIN(0,-DI113-BC113))</f>
        <v>-103766.36</v>
      </c>
      <c r="BE113" s="130">
        <f t="shared" si="87"/>
        <v>0</v>
      </c>
      <c r="BF113" s="130">
        <f t="shared" si="88"/>
        <v>1403</v>
      </c>
      <c r="BG113" s="73"/>
      <c r="BH113" s="191">
        <f t="shared" si="89"/>
        <v>41022.51</v>
      </c>
      <c r="BI113" s="191">
        <f t="shared" si="90"/>
        <v>9646</v>
      </c>
      <c r="BJ113" s="232">
        <f>IFERROR(ROUND(IF(AND(BB113*1.12&lt;N113*60/1000,N113/CL113&lt;STVPP*0.2),(CL113*STVPP*0.2*Worksheet!$F$88/1000-BB113*1.12)*PropTaxAdj,IF(BB113*1.12&lt;N113*60/1000,(N113*60/1000-BB113*1.12)*PropTaxAdj,0)),2),0)</f>
        <v>0</v>
      </c>
      <c r="BK113" s="192">
        <f>ROUND(IF($F113=4,0,Y113*Worksheet!$E$16),2)</f>
        <v>63.09</v>
      </c>
      <c r="BL113" s="192">
        <f>ROUND(IF($F113=4,0,Z113*Worksheet!$E$17),2)</f>
        <v>301</v>
      </c>
      <c r="BM113" s="192">
        <f>ROUND(IF($F113=4,0,AA113*Worksheet!$E$18),2)</f>
        <v>2126</v>
      </c>
      <c r="BN113" s="192">
        <f>ROUND(IF($F113=4,0,AB113*Worksheet!$E$19),2)</f>
        <v>720</v>
      </c>
      <c r="BO113" s="192">
        <f>ROUND(IF($F113=4,0,AC113*Worksheet!$E$20),2)</f>
        <v>1177.33</v>
      </c>
      <c r="BP113" s="192">
        <f>ROUND(AD113*Worksheet!$E$21,2)</f>
        <v>74.67</v>
      </c>
      <c r="BQ113" s="192">
        <f t="shared" si="76"/>
        <v>4462.09</v>
      </c>
      <c r="BR113" s="192">
        <f>ROUND(AD113*Worksheet!$E$25,2)</f>
        <v>18.670000000000002</v>
      </c>
      <c r="BS113" s="192">
        <f>ROUND(SUM(BQ113)*Worksheet!$E$26,2)</f>
        <v>392.66</v>
      </c>
      <c r="BT113" s="192">
        <f>ROUND(Y113*Worksheet!$E$27,2)</f>
        <v>10.73</v>
      </c>
      <c r="BU113" s="192">
        <f>ROUND(AO113*Worksheet!$E$29,2)</f>
        <v>3.96</v>
      </c>
      <c r="BV113" s="192">
        <f>ROUND(AP113*Worksheet!$E$30,2)</f>
        <v>0</v>
      </c>
      <c r="BW113" s="192">
        <f>ROUND(IF($I113&lt;&gt;0,$BQ113*Worksheet!$E$28,0),2)</f>
        <v>8.92</v>
      </c>
      <c r="BX113" s="192">
        <f>ROUND(AE113*Worksheet!$E$31,2)</f>
        <v>7.52</v>
      </c>
      <c r="BY113" s="192">
        <f>ROUND(AF113*Worksheet!$E$32,2)</f>
        <v>4.6399999999999997</v>
      </c>
      <c r="BZ113" s="192">
        <f>ROUND(AG113*Worksheet!$E$33,2)</f>
        <v>3.87</v>
      </c>
      <c r="CA113" s="192">
        <f>ROUND(ROUND(AH113*BQ113,2)*Worksheet!$E$34,2)</f>
        <v>40.270000000000003</v>
      </c>
      <c r="CB113" s="192">
        <f>ROUND(AI113*Worksheet!$E$35,2)</f>
        <v>0.28000000000000003</v>
      </c>
      <c r="CC113" s="192">
        <f>ROUND(AJ113*Worksheet!$E$36,2)</f>
        <v>0</v>
      </c>
      <c r="CD113" s="192">
        <f>ROUND(AQ113*Worksheet!$E$38,2)</f>
        <v>84.22</v>
      </c>
      <c r="CE113" s="192">
        <f>ROUND(AR113*Worksheet!$E$39,2)</f>
        <v>2.3199999999999998</v>
      </c>
      <c r="CF113" s="192">
        <f>IF(AND(L113&gt;275,SUM(Y113:AD113)&lt;100),ROUND(SUM(Y113:AD113)*Worksheet!$E$41,2),0)</f>
        <v>0</v>
      </c>
      <c r="CG113" s="192">
        <f>IF(AND(L113&gt;600,SUM(Y113:AD113)&lt;50),ROUND((50-SUM(Y113:AD113))*(Worksheet!$E$41+1),2),0)</f>
        <v>0</v>
      </c>
      <c r="CH113" s="192">
        <f t="shared" si="77"/>
        <v>5040.1500000000005</v>
      </c>
      <c r="CI113" s="116">
        <f t="shared" si="95"/>
        <v>75.900000000000006</v>
      </c>
      <c r="CJ113" s="116">
        <f t="shared" si="96"/>
        <v>4964.2500000000009</v>
      </c>
      <c r="CK113" s="95">
        <f t="shared" si="91"/>
        <v>1</v>
      </c>
      <c r="CL113" s="116">
        <f t="shared" si="97"/>
        <v>4964.25</v>
      </c>
      <c r="CM113" s="116">
        <f t="shared" si="98"/>
        <v>5040.1499999999996</v>
      </c>
      <c r="CN113" s="116">
        <f t="shared" si="92"/>
        <v>58632064.950000003</v>
      </c>
      <c r="CO113" s="131">
        <f>ROUND(IF(F113=4,0,(MAX(ROUND(MAX((BI113*MIN(CL113,K113)*Worksheet!$D$126)+MAX(CL113-K113,0)*Worksheet!$F$50,SUM(J113)),2),SUM(CN113))-SUM(CN113))*MinAdj),2)</f>
        <v>0</v>
      </c>
      <c r="CP113" s="192">
        <f t="shared" si="93"/>
        <v>58632064.950000003</v>
      </c>
      <c r="CQ113" s="131">
        <f>IF(CL113=0,0,-MIN(CP113,MIN(CP113,ROUND(IF(ROUND(IF(CL113=0,0,N113/CL113),2)&lt;STVPP*0.2,STVPP*0.2*CL113*Worksheet!$F$88/1000,N113*Worksheet!$F$88/1000),2))))</f>
        <v>-12218760.720000001</v>
      </c>
      <c r="CR113" s="193">
        <f>-MIN(SUM(CP113,CQ113),IF($P113=0,(ROUND(Worksheet!$E$77*S113,2)+ROUND(Worksheet!$E$78*T113,2)+ROUND(Worksheet!$E$79*U113,2)+ROUND(Worksheet!$E$80*V113,2)+ROUND(Worksheet!$E$81*W113,2)+ROUND(Worksheet!$E$82*X113,2)),(ROUND(ROUND(S113*ROUND((1-$O113/$P113),4),2)*Worksheet!$E$77,2)+ROUND(ROUND(T113*ROUND((1-$O113/$P113),4),2)*Worksheet!$E$78,2)+ROUND(ROUND(U113*ROUND((1-$O113/$P113),4),2)*Worksheet!$E$79,2)+ROUND(ROUND(V113*ROUND((1-$O113/$P113),4),2)*Worksheet!$E$80,2)+ROUND(ROUND(W113*ROUND((1-$O113/$P113),4),2)*Worksheet!$E$81,2)+ROUND(ROUND(X113*ROUND((1-$O113/$P113),4),2)*Worksheet!$E$82,2))))</f>
        <v>-348019.59</v>
      </c>
      <c r="CS113" s="192">
        <f t="shared" si="78"/>
        <v>46065284.640000001</v>
      </c>
      <c r="CT113" s="116">
        <f>ROUND(MIN(BA113,ROUND((ROUND(AS113*Worksheet!$E$104,2)+ROUND(AV113*Worksheet!$E$107,2)+ROUND(AT113*Worksheet!$E$105,2)+ROUND(AW113*Worksheet!$E$108,2)+ROUND(AU113*Worksheet!$E$106,2)+ROUND(AX113*Worksheet!$E$109,2)+ROUND(AY113*Worksheet!$E$110,2)+ROUND(AZ113*Worksheet!$E$111,2))*Worksheet!$D$114,2))*BaseRate,2)</f>
        <v>517784.83</v>
      </c>
      <c r="CU113" s="121">
        <v>0</v>
      </c>
      <c r="CV113" s="121">
        <v>0</v>
      </c>
      <c r="CW113" s="121">
        <v>0</v>
      </c>
      <c r="CX113" s="121">
        <v>0</v>
      </c>
      <c r="CY113" s="121">
        <v>0</v>
      </c>
      <c r="DA113" s="192">
        <f t="shared" si="79"/>
        <v>0</v>
      </c>
      <c r="DB113" s="192">
        <f>MAX(-CT113,MIN(0,ROUND($R113*EFBPercent+EFBAdd,2)-$Q113),MIN(0,SUM($CS113:CS113)+MIN(0,ROUND($R113*EFBPercent+EFBAdd,2)-$Q113)))</f>
        <v>0</v>
      </c>
      <c r="DC113" s="192">
        <f>IF(CU113&lt;0,0,MAX(-CU113,MIN(0,ROUND($R113*EFBPercent+EFBAdd,2)-$Q113),MIN(0,SUM($CS113:CT113)+MIN(0,ROUND($R113*EFBPercent+EFBAdd,2)-$Q113))))</f>
        <v>0</v>
      </c>
      <c r="DD113" s="192">
        <f>IF(CV113&lt;0,0,MAX(-CV113,MIN(0,ROUND($R113*EFBPercent+EFBAdd,2)-$Q113),MIN(0,SUM($CS113:CU113)+MIN(0,ROUND($R113*EFBPercent+EFBAdd,2)-$Q113))))</f>
        <v>0</v>
      </c>
      <c r="DE113" s="192">
        <f>IF(CW113&lt;0,0,MAX(-CW113,MIN(0,ROUND($R113*EFBPercent+EFBAdd,2)-$Q113),MIN(0,SUM($CS113:CV113)+MIN(0,ROUND($R113*EFBPercent+EFBAdd,2)-$Q113))))</f>
        <v>0</v>
      </c>
      <c r="DF113" s="192">
        <f>IF(CX113&lt;0,0,MAX(-CX113,MIN(0,ROUND($R113*EFBPercent+EFBAdd,2)-$Q113),MIN(0,SUM($CS113:CW113)+MIN(0,ROUND($R113*EFBPercent+EFBAdd,2)-$Q113))))</f>
        <v>0</v>
      </c>
      <c r="DG113" s="192">
        <f>MAX(-CY113,MIN(0,ROUND($R113*EFBPercent+EFBAdd,2)-$Q113),MIN(0,SUM($CS113:CX113)+MIN(0,ROUND($R113*EFBPercent+EFBAdd,2)-$Q113)))</f>
        <v>0</v>
      </c>
      <c r="DI113" s="73">
        <f t="shared" si="80"/>
        <v>46065284.640000001</v>
      </c>
      <c r="DJ113" s="73">
        <f t="shared" si="81"/>
        <v>517784.83</v>
      </c>
      <c r="DK113" s="73">
        <f t="shared" si="82"/>
        <v>0</v>
      </c>
      <c r="DL113" s="73">
        <f t="shared" si="83"/>
        <v>0</v>
      </c>
      <c r="DM113" s="73">
        <f t="shared" si="84"/>
        <v>0</v>
      </c>
      <c r="DN113" s="73">
        <f t="shared" si="85"/>
        <v>0</v>
      </c>
      <c r="DO113" s="73">
        <f t="shared" si="86"/>
        <v>0</v>
      </c>
      <c r="DP113" s="73"/>
      <c r="DQ113" s="73"/>
    </row>
    <row r="114" spans="1:121" ht="10.199999999999999" x14ac:dyDescent="0.2">
      <c r="A114" s="4" t="s">
        <v>586</v>
      </c>
      <c r="B114" s="188">
        <v>1086</v>
      </c>
      <c r="C114" s="189" t="s">
        <v>112</v>
      </c>
      <c r="D114" s="4">
        <v>2027</v>
      </c>
      <c r="E114" s="4" t="s">
        <v>425</v>
      </c>
      <c r="F114" s="4">
        <v>2</v>
      </c>
      <c r="G114" s="4" t="s">
        <v>661</v>
      </c>
      <c r="H114" s="4">
        <v>0</v>
      </c>
      <c r="I114" s="4" t="s">
        <v>1091</v>
      </c>
      <c r="J114" s="5">
        <v>367894.66</v>
      </c>
      <c r="K114" s="5">
        <v>27.1</v>
      </c>
      <c r="L114" s="5">
        <v>85.06</v>
      </c>
      <c r="M114" s="5">
        <v>0</v>
      </c>
      <c r="N114" s="5">
        <v>2584327</v>
      </c>
      <c r="O114" s="5">
        <v>0</v>
      </c>
      <c r="P114" s="5">
        <v>63.43</v>
      </c>
      <c r="Q114" s="5">
        <v>0</v>
      </c>
      <c r="R114" s="5">
        <v>0</v>
      </c>
      <c r="S114" s="5">
        <v>0</v>
      </c>
      <c r="T114" s="5">
        <v>0</v>
      </c>
      <c r="U114" s="5">
        <v>0</v>
      </c>
      <c r="V114" s="5">
        <v>3822.57</v>
      </c>
      <c r="W114" s="5">
        <v>890.32999999999993</v>
      </c>
      <c r="X114" s="5">
        <v>2289.85</v>
      </c>
      <c r="Y114" s="5">
        <v>0</v>
      </c>
      <c r="Z114" s="5">
        <v>5</v>
      </c>
      <c r="AA114" s="5">
        <v>13</v>
      </c>
      <c r="AB114" s="5">
        <v>2</v>
      </c>
      <c r="AC114" s="5">
        <v>0</v>
      </c>
      <c r="AD114" s="5">
        <v>0</v>
      </c>
      <c r="AE114" s="5">
        <v>0</v>
      </c>
      <c r="AF114" s="5">
        <v>0</v>
      </c>
      <c r="AG114" s="5">
        <v>0</v>
      </c>
      <c r="AH114" s="5">
        <v>0</v>
      </c>
      <c r="AI114" s="5">
        <v>0</v>
      </c>
      <c r="AJ114" s="5">
        <v>0</v>
      </c>
      <c r="AK114" s="5">
        <v>0</v>
      </c>
      <c r="AL114" s="5">
        <v>19.87</v>
      </c>
      <c r="AM114" s="5">
        <v>0</v>
      </c>
      <c r="AN114" s="5">
        <v>20</v>
      </c>
      <c r="AO114" s="5">
        <f t="shared" si="94"/>
        <v>0</v>
      </c>
      <c r="AP114" s="5">
        <f t="shared" si="102"/>
        <v>0</v>
      </c>
      <c r="AQ114" s="5">
        <v>0</v>
      </c>
      <c r="AR114" s="5">
        <v>0</v>
      </c>
      <c r="AS114" s="5">
        <v>0</v>
      </c>
      <c r="AT114" s="5">
        <v>0</v>
      </c>
      <c r="AU114" s="5">
        <v>0</v>
      </c>
      <c r="AV114" s="5">
        <v>0</v>
      </c>
      <c r="AW114" s="199">
        <v>85.06</v>
      </c>
      <c r="AX114" s="199">
        <v>1</v>
      </c>
      <c r="AY114" s="199">
        <v>14157.5</v>
      </c>
      <c r="AZ114" s="199">
        <v>0</v>
      </c>
      <c r="BA114" s="5">
        <v>13996.02</v>
      </c>
      <c r="BB114" s="13">
        <v>156093.29999999999</v>
      </c>
      <c r="BC114" s="190">
        <f>MAX(ROUND(IF(F114&lt;4,IF(H114=0,(SUM(Y114:AD114)*Worksheet!$E$26+Y114*Worksheet!$E$27+AR114*Worksheet!$E$39)*-BaseRate,0)),2),MIN(0,-DI114))</f>
        <v>-20474.080000000002</v>
      </c>
      <c r="BD114" s="190">
        <f>MAX(ROUND(IF(F114=4,0,IF(I114=0,0,ROUND(SUM(Y114:AD114)*Worksheet!$E$28,2)*-BaseRate)),2),MIN(0,-DI114-BC114))</f>
        <v>-465.32</v>
      </c>
      <c r="BE114" s="130">
        <f t="shared" si="87"/>
        <v>2502</v>
      </c>
      <c r="BF114" s="130">
        <f t="shared" si="88"/>
        <v>1403</v>
      </c>
      <c r="BG114" s="73"/>
      <c r="BH114" s="191">
        <f t="shared" si="89"/>
        <v>70978.490000000005</v>
      </c>
      <c r="BI114" s="191">
        <f t="shared" si="90"/>
        <v>13575.45</v>
      </c>
      <c r="BJ114" s="232">
        <f>IFERROR(ROUND(IF(AND(BB114*1.12&lt;N114*60/1000,N114/CL114&lt;STVPP*0.2),(CL114*STVPP*0.2*Worksheet!$F$88/1000-BB114*1.12)*PropTaxAdj,IF(BB114*1.12&lt;N114*60/1000,(N114*60/1000-BB114*1.12)*PropTaxAdj,0)),2),0)</f>
        <v>0</v>
      </c>
      <c r="BK114" s="192">
        <f>ROUND(IF($F114=4,0,Y114*Worksheet!$E$16),2)</f>
        <v>0</v>
      </c>
      <c r="BL114" s="192">
        <f>ROUND(IF($F114=4,0,Z114*Worksheet!$E$17),2)</f>
        <v>5</v>
      </c>
      <c r="BM114" s="192">
        <f>ROUND(IF($F114=4,0,AA114*Worksheet!$E$18),2)</f>
        <v>13</v>
      </c>
      <c r="BN114" s="192">
        <f>ROUND(IF($F114=4,0,AB114*Worksheet!$E$19),2)</f>
        <v>2</v>
      </c>
      <c r="BO114" s="192">
        <f>ROUND(IF($F114=4,0,AC114*Worksheet!$E$20),2)</f>
        <v>0</v>
      </c>
      <c r="BP114" s="192">
        <f>ROUND(AD114*Worksheet!$E$21,2)</f>
        <v>0</v>
      </c>
      <c r="BQ114" s="192">
        <f t="shared" si="76"/>
        <v>20</v>
      </c>
      <c r="BR114" s="192">
        <f>ROUND(AD114*Worksheet!$E$25,2)</f>
        <v>0</v>
      </c>
      <c r="BS114" s="192">
        <f>ROUND(SUM(BQ114)*Worksheet!$E$26,2)</f>
        <v>1.76</v>
      </c>
      <c r="BT114" s="192">
        <f>ROUND(Y114*Worksheet!$E$27,2)</f>
        <v>0</v>
      </c>
      <c r="BU114" s="192">
        <f>ROUND(AO114*Worksheet!$E$29,2)</f>
        <v>0</v>
      </c>
      <c r="BV114" s="192">
        <f>ROUND(AP114*Worksheet!$E$30,2)</f>
        <v>0</v>
      </c>
      <c r="BW114" s="192">
        <f>ROUND(IF($I114&lt;&gt;0,$BQ114*Worksheet!$E$28,0),2)</f>
        <v>0.04</v>
      </c>
      <c r="BX114" s="192">
        <f>ROUND(AE114*Worksheet!$E$31,2)</f>
        <v>0</v>
      </c>
      <c r="BY114" s="192">
        <f>ROUND(AF114*Worksheet!$E$32,2)</f>
        <v>0</v>
      </c>
      <c r="BZ114" s="192">
        <f>ROUND(AG114*Worksheet!$E$33,2)</f>
        <v>0</v>
      </c>
      <c r="CA114" s="192">
        <f>ROUND(ROUND(AH114*BQ114,2)*Worksheet!$E$34,2)</f>
        <v>0</v>
      </c>
      <c r="CB114" s="192">
        <f>ROUND(AI114*Worksheet!$E$35,2)</f>
        <v>0</v>
      </c>
      <c r="CC114" s="192">
        <f>ROUND(AJ114*Worksheet!$E$36,2)</f>
        <v>0</v>
      </c>
      <c r="CD114" s="192">
        <f>ROUND(AQ114*Worksheet!$E$38,2)</f>
        <v>0</v>
      </c>
      <c r="CE114" s="192">
        <f>ROUND(AR114*Worksheet!$E$39,2)</f>
        <v>0</v>
      </c>
      <c r="CF114" s="192">
        <f>IF(AND(L114&gt;275,SUM(Y114:AD114)&lt;100),ROUND(SUM(Y114:AD114)*Worksheet!$E$41,2),0)</f>
        <v>0</v>
      </c>
      <c r="CG114" s="192">
        <f>IF(AND(L114&gt;600,SUM(Y114:AD114)&lt;50),ROUND((50-SUM(Y114:AD114))*(Worksheet!$E$41+1),2),0)</f>
        <v>0</v>
      </c>
      <c r="CH114" s="192">
        <f t="shared" si="77"/>
        <v>21.8</v>
      </c>
      <c r="CI114" s="116">
        <f t="shared" si="95"/>
        <v>0</v>
      </c>
      <c r="CJ114" s="116">
        <f t="shared" si="96"/>
        <v>21.8</v>
      </c>
      <c r="CK114" s="95">
        <f t="shared" si="91"/>
        <v>1.67</v>
      </c>
      <c r="CL114" s="116">
        <f t="shared" si="97"/>
        <v>36.409999999999997</v>
      </c>
      <c r="CM114" s="116">
        <f t="shared" si="98"/>
        <v>36.409999999999997</v>
      </c>
      <c r="CN114" s="116">
        <f t="shared" si="92"/>
        <v>423557.53</v>
      </c>
      <c r="CO114" s="131">
        <f>ROUND(IF(F114=4,0,(MAX(ROUND(MAX((BI114*MIN(CL114,K114)*Worksheet!$D$126)+MAX(CL114-K114,0)*Worksheet!$F$50,SUM(J114)),2),SUM(CN114))-SUM(CN114))*MinAdj),2)</f>
        <v>8999.74</v>
      </c>
      <c r="CP114" s="192">
        <f t="shared" si="93"/>
        <v>432557.27</v>
      </c>
      <c r="CQ114" s="131">
        <f>IF(CL114=0,0,-MIN(CP114,MIN(CP114,ROUND(IF(ROUND(IF(CL114=0,0,N114/CL114),2)&lt;STVPP*0.2,STVPP*0.2*CL114*Worksheet!$F$88/1000,N114*Worksheet!$F$88/1000),2))))</f>
        <v>-155059.62</v>
      </c>
      <c r="CR114" s="193">
        <f>-MIN(SUM(CP114,CQ114),IF($P114=0,(ROUND(Worksheet!$E$77*S114,2)+ROUND(Worksheet!$E$78*T114,2)+ROUND(Worksheet!$E$79*U114,2)+ROUND(Worksheet!$E$80*V114,2)+ROUND(Worksheet!$E$81*W114,2)+ROUND(Worksheet!$E$82*X114,2)),(ROUND(ROUND(S114*ROUND((1-$O114/$P114),4),2)*Worksheet!$E$77,2)+ROUND(ROUND(T114*ROUND((1-$O114/$P114),4),2)*Worksheet!$E$78,2)+ROUND(ROUND(U114*ROUND((1-$O114/$P114),4),2)*Worksheet!$E$79,2)+ROUND(ROUND(V114*ROUND((1-$O114/$P114),4),2)*Worksheet!$E$80,2)+ROUND(ROUND(W114*ROUND((1-$O114/$P114),4),2)*Worksheet!$E$81,2)+ROUND(ROUND(X114*ROUND((1-$O114/$P114),4),2)*Worksheet!$E$82,2))))</f>
        <v>-5252.07</v>
      </c>
      <c r="CS114" s="192">
        <f t="shared" si="78"/>
        <v>272245.58</v>
      </c>
      <c r="CT114" s="116">
        <f>ROUND(MIN(BA114,ROUND((ROUND(AS114*Worksheet!$E$104,2)+ROUND(AV114*Worksheet!$E$107,2)+ROUND(AT114*Worksheet!$E$105,2)+ROUND(AW114*Worksheet!$E$108,2)+ROUND(AU114*Worksheet!$E$106,2)+ROUND(AX114*Worksheet!$E$109,2)+ROUND(AY114*Worksheet!$E$110,2)+ROUND(AZ114*Worksheet!$E$111,2))*Worksheet!$D$114,2))*BaseRate,2)</f>
        <v>6979.8</v>
      </c>
      <c r="CU114" s="121">
        <v>0</v>
      </c>
      <c r="CV114" s="121">
        <v>0</v>
      </c>
      <c r="CW114" s="121">
        <v>0</v>
      </c>
      <c r="CX114" s="121">
        <v>0</v>
      </c>
      <c r="CY114" s="121">
        <v>0</v>
      </c>
      <c r="DA114" s="192">
        <f t="shared" si="79"/>
        <v>0</v>
      </c>
      <c r="DB114" s="192">
        <f>MAX(-CT114,MIN(0,ROUND($R114*EFBPercent+EFBAdd,2)-$Q114),MIN(0,SUM($CS114:CS114)+MIN(0,ROUND($R114*EFBPercent+EFBAdd,2)-$Q114)))</f>
        <v>0</v>
      </c>
      <c r="DC114" s="192">
        <f>IF(CU114&lt;0,0,MAX(-CU114,MIN(0,ROUND($R114*EFBPercent+EFBAdd,2)-$Q114),MIN(0,SUM($CS114:CT114)+MIN(0,ROUND($R114*EFBPercent+EFBAdd,2)-$Q114))))</f>
        <v>0</v>
      </c>
      <c r="DD114" s="192">
        <f>IF(CV114&lt;0,0,MAX(-CV114,MIN(0,ROUND($R114*EFBPercent+EFBAdd,2)-$Q114),MIN(0,SUM($CS114:CU114)+MIN(0,ROUND($R114*EFBPercent+EFBAdd,2)-$Q114))))</f>
        <v>0</v>
      </c>
      <c r="DE114" s="192">
        <f>IF(CW114&lt;0,0,MAX(-CW114,MIN(0,ROUND($R114*EFBPercent+EFBAdd,2)-$Q114),MIN(0,SUM($CS114:CV114)+MIN(0,ROUND($R114*EFBPercent+EFBAdd,2)-$Q114))))</f>
        <v>0</v>
      </c>
      <c r="DF114" s="192">
        <f>IF(CX114&lt;0,0,MAX(-CX114,MIN(0,ROUND($R114*EFBPercent+EFBAdd,2)-$Q114),MIN(0,SUM($CS114:CW114)+MIN(0,ROUND($R114*EFBPercent+EFBAdd,2)-$Q114))))</f>
        <v>0</v>
      </c>
      <c r="DG114" s="192">
        <f>MAX(-CY114,MIN(0,ROUND($R114*EFBPercent+EFBAdd,2)-$Q114),MIN(0,SUM($CS114:CX114)+MIN(0,ROUND($R114*EFBPercent+EFBAdd,2)-$Q114)))</f>
        <v>0</v>
      </c>
      <c r="DI114" s="73">
        <f t="shared" si="80"/>
        <v>272245.58</v>
      </c>
      <c r="DJ114" s="73">
        <f t="shared" si="81"/>
        <v>6979.8</v>
      </c>
      <c r="DK114" s="73">
        <f t="shared" si="82"/>
        <v>0</v>
      </c>
      <c r="DL114" s="73">
        <f t="shared" si="83"/>
        <v>0</v>
      </c>
      <c r="DM114" s="73">
        <f t="shared" si="84"/>
        <v>0</v>
      </c>
      <c r="DN114" s="73">
        <f t="shared" si="85"/>
        <v>0</v>
      </c>
      <c r="DO114" s="73">
        <f t="shared" si="86"/>
        <v>0</v>
      </c>
      <c r="DP114" s="73"/>
      <c r="DQ114" s="73"/>
    </row>
    <row r="115" spans="1:121" ht="10.199999999999999" x14ac:dyDescent="0.2">
      <c r="A115" s="4" t="s">
        <v>587</v>
      </c>
      <c r="B115" s="188">
        <v>1064</v>
      </c>
      <c r="C115" s="189" t="s">
        <v>113</v>
      </c>
      <c r="D115" s="4">
        <v>2027</v>
      </c>
      <c r="E115" s="4" t="s">
        <v>426</v>
      </c>
      <c r="F115" s="4">
        <v>1</v>
      </c>
      <c r="G115" s="4" t="s">
        <v>672</v>
      </c>
      <c r="H115" s="4">
        <v>100</v>
      </c>
      <c r="I115" s="4" t="s">
        <v>1152</v>
      </c>
      <c r="J115" s="5">
        <v>2156363.2999999998</v>
      </c>
      <c r="K115" s="5">
        <v>223.55</v>
      </c>
      <c r="L115" s="5">
        <v>394</v>
      </c>
      <c r="M115" s="5">
        <v>0</v>
      </c>
      <c r="N115" s="5">
        <v>9237368</v>
      </c>
      <c r="O115" s="5">
        <v>0</v>
      </c>
      <c r="P115" s="5">
        <v>85.149999999999991</v>
      </c>
      <c r="Q115" s="5">
        <v>0</v>
      </c>
      <c r="R115" s="5">
        <v>0</v>
      </c>
      <c r="S115" s="5">
        <v>0</v>
      </c>
      <c r="T115" s="5">
        <v>12867.19</v>
      </c>
      <c r="U115" s="5">
        <v>0</v>
      </c>
      <c r="V115" s="5">
        <v>244680.66</v>
      </c>
      <c r="W115" s="5">
        <v>302.82</v>
      </c>
      <c r="X115" s="5">
        <v>16763.79</v>
      </c>
      <c r="Y115" s="5">
        <v>4</v>
      </c>
      <c r="Z115" s="5">
        <v>12</v>
      </c>
      <c r="AA115" s="5">
        <v>75</v>
      </c>
      <c r="AB115" s="5">
        <v>29</v>
      </c>
      <c r="AC115" s="5">
        <v>41</v>
      </c>
      <c r="AD115" s="5">
        <v>0</v>
      </c>
      <c r="AE115" s="5">
        <v>1.72</v>
      </c>
      <c r="AF115" s="5">
        <v>0</v>
      </c>
      <c r="AG115" s="5">
        <v>1</v>
      </c>
      <c r="AH115" s="5">
        <v>0.45800000000000002</v>
      </c>
      <c r="AI115" s="5">
        <v>0</v>
      </c>
      <c r="AJ115" s="5">
        <v>0</v>
      </c>
      <c r="AK115" s="5">
        <v>0</v>
      </c>
      <c r="AL115" s="5">
        <v>157.15</v>
      </c>
      <c r="AM115" s="5">
        <v>4.6800000000000068</v>
      </c>
      <c r="AN115" s="5">
        <v>157</v>
      </c>
      <c r="AO115" s="5">
        <f t="shared" si="94"/>
        <v>0.15000000000000568</v>
      </c>
      <c r="AP115" s="5">
        <f t="shared" si="102"/>
        <v>0</v>
      </c>
      <c r="AQ115" s="5">
        <v>3.25</v>
      </c>
      <c r="AR115" s="5">
        <v>0</v>
      </c>
      <c r="AS115" s="5">
        <v>0</v>
      </c>
      <c r="AT115" s="5">
        <v>45150</v>
      </c>
      <c r="AU115" s="5">
        <v>0</v>
      </c>
      <c r="AV115" s="5">
        <v>1400</v>
      </c>
      <c r="AW115" s="199">
        <v>394</v>
      </c>
      <c r="AX115" s="199">
        <v>1</v>
      </c>
      <c r="AY115" s="199">
        <v>0</v>
      </c>
      <c r="AZ115" s="199">
        <v>0</v>
      </c>
      <c r="BA115" s="5">
        <v>96336.74</v>
      </c>
      <c r="BB115" s="13">
        <v>560237.93999999994</v>
      </c>
      <c r="BC115" s="190">
        <f>MAX(ROUND(IF(F115&lt;4,IF(H115=0,(SUM(Y115:AD115)*Worksheet!$E$26+Y115*Worksheet!$E$27+AR115*Worksheet!$E$39)*-BaseRate,0)),2),MIN(0,-DI115))</f>
        <v>0</v>
      </c>
      <c r="BD115" s="190">
        <f>MAX(ROUND(IF(F115=4,0,IF(I115=0,0,ROUND(SUM(Y115:AD115)*Worksheet!$E$28,2)*-BaseRate)),2),MIN(0,-DI115-BC115))</f>
        <v>-3722.56</v>
      </c>
      <c r="BE115" s="130">
        <f t="shared" si="87"/>
        <v>0</v>
      </c>
      <c r="BF115" s="130">
        <f t="shared" si="88"/>
        <v>1412</v>
      </c>
      <c r="BG115" s="73"/>
      <c r="BH115" s="191">
        <f t="shared" si="89"/>
        <v>36710.120000000003</v>
      </c>
      <c r="BI115" s="191">
        <f t="shared" si="90"/>
        <v>9646</v>
      </c>
      <c r="BJ115" s="232">
        <f>IFERROR(ROUND(IF(AND(BB115*1.12&lt;N115*60/1000,N115/CL115&lt;STVPP*0.2),(CL115*STVPP*0.2*Worksheet!$F$88/1000-BB115*1.12)*PropTaxAdj,IF(BB115*1.12&lt;N115*60/1000,(N115*60/1000-BB115*1.12)*PropTaxAdj,0)),2),0)</f>
        <v>0</v>
      </c>
      <c r="BK115" s="192">
        <f>ROUND(IF($F115=4,0,Y115*Worksheet!$E$16),2)</f>
        <v>4</v>
      </c>
      <c r="BL115" s="192">
        <f>ROUND(IF($F115=4,0,Z115*Worksheet!$E$17),2)</f>
        <v>12</v>
      </c>
      <c r="BM115" s="192">
        <f>ROUND(IF($F115=4,0,AA115*Worksheet!$E$18),2)</f>
        <v>75</v>
      </c>
      <c r="BN115" s="192">
        <f>ROUND(IF($F115=4,0,AB115*Worksheet!$E$19),2)</f>
        <v>29</v>
      </c>
      <c r="BO115" s="192">
        <f>ROUND(IF($F115=4,0,AC115*Worksheet!$E$20),2)</f>
        <v>41</v>
      </c>
      <c r="BP115" s="192">
        <f>ROUND(AD115*Worksheet!$E$21,2)</f>
        <v>0</v>
      </c>
      <c r="BQ115" s="192">
        <f t="shared" si="76"/>
        <v>161</v>
      </c>
      <c r="BR115" s="192">
        <f>ROUND(AD115*Worksheet!$E$25,2)</f>
        <v>0</v>
      </c>
      <c r="BS115" s="192">
        <f>ROUND(SUM(BQ115)*Worksheet!$E$26,2)</f>
        <v>14.17</v>
      </c>
      <c r="BT115" s="192">
        <f>ROUND(Y115*Worksheet!$E$27,2)</f>
        <v>0.68</v>
      </c>
      <c r="BU115" s="192">
        <f>ROUND(AO115*Worksheet!$E$29,2)</f>
        <v>0.15</v>
      </c>
      <c r="BV115" s="192">
        <f>ROUND(AP115*Worksheet!$E$30,2)</f>
        <v>0</v>
      </c>
      <c r="BW115" s="192">
        <f>ROUND(IF($I115&lt;&gt;0,$BQ115*Worksheet!$E$28,0),2)</f>
        <v>0.32</v>
      </c>
      <c r="BX115" s="192">
        <f>ROUND(AE115*Worksheet!$E$31,2)</f>
        <v>0.69</v>
      </c>
      <c r="BY115" s="192">
        <f>ROUND(AF115*Worksheet!$E$32,2)</f>
        <v>0</v>
      </c>
      <c r="BZ115" s="192">
        <f>ROUND(AG115*Worksheet!$E$33,2)</f>
        <v>7.0000000000000007E-2</v>
      </c>
      <c r="CA115" s="192">
        <f>ROUND(ROUND(AH115*BQ115,2)*Worksheet!$E$34,2)</f>
        <v>1.84</v>
      </c>
      <c r="CB115" s="192">
        <f>ROUND(AI115*Worksheet!$E$35,2)</f>
        <v>0</v>
      </c>
      <c r="CC115" s="192">
        <f>ROUND(AJ115*Worksheet!$E$36,2)</f>
        <v>0</v>
      </c>
      <c r="CD115" s="192">
        <f>ROUND(AQ115*Worksheet!$E$38,2)</f>
        <v>1.95</v>
      </c>
      <c r="CE115" s="192">
        <f>ROUND(AR115*Worksheet!$E$39,2)</f>
        <v>0</v>
      </c>
      <c r="CF115" s="192">
        <f>IF(AND(L115&gt;275,SUM(Y115:AD115)&lt;100),ROUND(SUM(Y115:AD115)*Worksheet!$E$41,2),0)</f>
        <v>0</v>
      </c>
      <c r="CG115" s="192">
        <f>IF(AND(L115&gt;600,SUM(Y115:AD115)&lt;50),ROUND((50-SUM(Y115:AD115))*(Worksheet!$E$41+1),2),0)</f>
        <v>0</v>
      </c>
      <c r="CH115" s="192">
        <f t="shared" si="77"/>
        <v>180.86999999999998</v>
      </c>
      <c r="CI115" s="116">
        <f t="shared" si="95"/>
        <v>0</v>
      </c>
      <c r="CJ115" s="116">
        <f t="shared" si="96"/>
        <v>180.86999999999998</v>
      </c>
      <c r="CK115" s="95">
        <f t="shared" si="91"/>
        <v>1.3912</v>
      </c>
      <c r="CL115" s="116">
        <f t="shared" si="97"/>
        <v>251.63</v>
      </c>
      <c r="CM115" s="116">
        <f t="shared" si="98"/>
        <v>251.63</v>
      </c>
      <c r="CN115" s="116">
        <f t="shared" si="92"/>
        <v>2927211.79</v>
      </c>
      <c r="CO115" s="131">
        <f>ROUND(IF(F115=4,0,(MAX(ROUND(MAX((BI115*MIN(CL115,K115)*Worksheet!$D$126)+MAX(CL115-K115,0)*Worksheet!$F$50,SUM(J115)),2),SUM(CN115))-SUM(CN115))*MinAdj),2)</f>
        <v>0</v>
      </c>
      <c r="CP115" s="192">
        <f t="shared" si="93"/>
        <v>2927211.79</v>
      </c>
      <c r="CQ115" s="131">
        <f>IF(CL115=0,0,-MIN(CP115,MIN(CP115,ROUND(IF(ROUND(IF(CL115=0,0,N115/CL115),2)&lt;STVPP*0.2,STVPP*0.2*CL115*Worksheet!$F$88/1000,N115*Worksheet!$F$88/1000),2))))</f>
        <v>-554242.07999999996</v>
      </c>
      <c r="CR115" s="193">
        <f>-MIN(SUM(CP115,CQ115),IF($P115=0,(ROUND(Worksheet!$E$77*S115,2)+ROUND(Worksheet!$E$78*T115,2)+ROUND(Worksheet!$E$79*U115,2)+ROUND(Worksheet!$E$80*V115,2)+ROUND(Worksheet!$E$81*W115,2)+ROUND(Worksheet!$E$82*X115,2)),(ROUND(ROUND(S115*ROUND((1-$O115/$P115),4),2)*Worksheet!$E$77,2)+ROUND(ROUND(T115*ROUND((1-$O115/$P115),4),2)*Worksheet!$E$78,2)+ROUND(ROUND(U115*ROUND((1-$O115/$P115),4),2)*Worksheet!$E$79,2)+ROUND(ROUND(V115*ROUND((1-$O115/$P115),4),2)*Worksheet!$E$80,2)+ROUND(ROUND(W115*ROUND((1-$O115/$P115),4),2)*Worksheet!$E$81,2)+ROUND(ROUND(X115*ROUND((1-$O115/$P115),4),2)*Worksheet!$E$82,2))))</f>
        <v>-205960.85</v>
      </c>
      <c r="CS115" s="192">
        <f t="shared" si="78"/>
        <v>2167008.86</v>
      </c>
      <c r="CT115" s="116">
        <f>ROUND(MIN(BA115,ROUND((ROUND(AS115*Worksheet!$E$104,2)+ROUND(AV115*Worksheet!$E$107,2)+ROUND(AT115*Worksheet!$E$105,2)+ROUND(AW115*Worksheet!$E$108,2)+ROUND(AU115*Worksheet!$E$106,2)+ROUND(AX115*Worksheet!$E$109,2)+ROUND(AY115*Worksheet!$E$110,2)+ROUND(AZ115*Worksheet!$E$111,2))*Worksheet!$D$114,2))*BaseRate,2)</f>
        <v>74567.53</v>
      </c>
      <c r="CU115" s="121">
        <v>0</v>
      </c>
      <c r="CV115" s="121">
        <v>0</v>
      </c>
      <c r="CW115" s="121">
        <v>0</v>
      </c>
      <c r="CX115" s="121">
        <v>0</v>
      </c>
      <c r="CY115" s="121">
        <v>0</v>
      </c>
      <c r="DA115" s="192">
        <f t="shared" si="79"/>
        <v>0</v>
      </c>
      <c r="DB115" s="192">
        <f>MAX(-CT115,MIN(0,ROUND($R115*EFBPercent+EFBAdd,2)-$Q115),MIN(0,SUM($CS115:CS115)+MIN(0,ROUND($R115*EFBPercent+EFBAdd,2)-$Q115)))</f>
        <v>0</v>
      </c>
      <c r="DC115" s="192">
        <f>IF(CU115&lt;0,0,MAX(-CU115,MIN(0,ROUND($R115*EFBPercent+EFBAdd,2)-$Q115),MIN(0,SUM($CS115:CT115)+MIN(0,ROUND($R115*EFBPercent+EFBAdd,2)-$Q115))))</f>
        <v>0</v>
      </c>
      <c r="DD115" s="192">
        <f>IF(CV115&lt;0,0,MAX(-CV115,MIN(0,ROUND($R115*EFBPercent+EFBAdd,2)-$Q115),MIN(0,SUM($CS115:CU115)+MIN(0,ROUND($R115*EFBPercent+EFBAdd,2)-$Q115))))</f>
        <v>0</v>
      </c>
      <c r="DE115" s="192">
        <f>IF(CW115&lt;0,0,MAX(-CW115,MIN(0,ROUND($R115*EFBPercent+EFBAdd,2)-$Q115),MIN(0,SUM($CS115:CV115)+MIN(0,ROUND($R115*EFBPercent+EFBAdd,2)-$Q115))))</f>
        <v>0</v>
      </c>
      <c r="DF115" s="192">
        <f>IF(CX115&lt;0,0,MAX(-CX115,MIN(0,ROUND($R115*EFBPercent+EFBAdd,2)-$Q115),MIN(0,SUM($CS115:CW115)+MIN(0,ROUND($R115*EFBPercent+EFBAdd,2)-$Q115))))</f>
        <v>0</v>
      </c>
      <c r="DG115" s="192">
        <f>MAX(-CY115,MIN(0,ROUND($R115*EFBPercent+EFBAdd,2)-$Q115),MIN(0,SUM($CS115:CX115)+MIN(0,ROUND($R115*EFBPercent+EFBAdd,2)-$Q115)))</f>
        <v>0</v>
      </c>
      <c r="DI115" s="73">
        <f t="shared" si="80"/>
        <v>2167008.86</v>
      </c>
      <c r="DJ115" s="73">
        <f t="shared" si="81"/>
        <v>74567.53</v>
      </c>
      <c r="DK115" s="73">
        <f t="shared" si="82"/>
        <v>0</v>
      </c>
      <c r="DL115" s="73">
        <f t="shared" si="83"/>
        <v>0</v>
      </c>
      <c r="DM115" s="73">
        <f t="shared" si="84"/>
        <v>0</v>
      </c>
      <c r="DN115" s="73">
        <f t="shared" si="85"/>
        <v>0</v>
      </c>
      <c r="DO115" s="73">
        <f t="shared" si="86"/>
        <v>0</v>
      </c>
      <c r="DP115" s="73"/>
      <c r="DQ115" s="73"/>
    </row>
    <row r="116" spans="1:121" ht="10.199999999999999" x14ac:dyDescent="0.2">
      <c r="A116" s="4" t="s">
        <v>588</v>
      </c>
      <c r="B116" s="188">
        <v>1155</v>
      </c>
      <c r="C116" s="189" t="s">
        <v>114</v>
      </c>
      <c r="D116" s="4">
        <v>2027</v>
      </c>
      <c r="E116" s="4" t="s">
        <v>427</v>
      </c>
      <c r="F116" s="4">
        <v>3</v>
      </c>
      <c r="G116" s="4" t="s">
        <v>672</v>
      </c>
      <c r="H116" s="4">
        <v>100</v>
      </c>
      <c r="I116" s="4" t="s">
        <v>1091</v>
      </c>
      <c r="J116" s="5">
        <v>261406.6</v>
      </c>
      <c r="K116" s="5">
        <v>27.1</v>
      </c>
      <c r="L116" s="5">
        <v>38.5</v>
      </c>
      <c r="M116" s="5">
        <v>0</v>
      </c>
      <c r="N116" s="5">
        <v>1479759</v>
      </c>
      <c r="O116" s="5">
        <v>0</v>
      </c>
      <c r="P116" s="5">
        <v>66.47</v>
      </c>
      <c r="Q116" s="5">
        <v>0</v>
      </c>
      <c r="R116" s="5">
        <v>0</v>
      </c>
      <c r="S116" s="5">
        <v>0</v>
      </c>
      <c r="T116" s="5">
        <v>0</v>
      </c>
      <c r="U116" s="5">
        <v>0</v>
      </c>
      <c r="V116" s="5">
        <v>445.44</v>
      </c>
      <c r="W116" s="5">
        <v>0</v>
      </c>
      <c r="X116" s="5">
        <v>786.05</v>
      </c>
      <c r="Y116" s="5">
        <v>0</v>
      </c>
      <c r="Z116" s="5">
        <v>2</v>
      </c>
      <c r="AA116" s="5">
        <v>18</v>
      </c>
      <c r="AB116" s="5">
        <v>9</v>
      </c>
      <c r="AC116" s="5">
        <v>0</v>
      </c>
      <c r="AD116" s="5">
        <v>0</v>
      </c>
      <c r="AE116" s="5">
        <v>0</v>
      </c>
      <c r="AF116" s="5">
        <v>0</v>
      </c>
      <c r="AG116" s="5">
        <v>0</v>
      </c>
      <c r="AH116" s="5">
        <v>1.9E-2</v>
      </c>
      <c r="AI116" s="5">
        <v>0</v>
      </c>
      <c r="AJ116" s="5">
        <v>0</v>
      </c>
      <c r="AK116" s="5">
        <v>0</v>
      </c>
      <c r="AL116" s="5">
        <v>28.92</v>
      </c>
      <c r="AM116" s="5">
        <v>1</v>
      </c>
      <c r="AN116" s="5">
        <v>29</v>
      </c>
      <c r="AO116" s="5">
        <f t="shared" si="94"/>
        <v>0</v>
      </c>
      <c r="AP116" s="5">
        <f t="shared" si="102"/>
        <v>0</v>
      </c>
      <c r="AQ116" s="5">
        <v>0</v>
      </c>
      <c r="AR116" s="5">
        <v>0</v>
      </c>
      <c r="AS116" s="5">
        <v>0</v>
      </c>
      <c r="AT116" s="5">
        <v>0</v>
      </c>
      <c r="AU116" s="5">
        <v>0</v>
      </c>
      <c r="AV116" s="5">
        <v>0</v>
      </c>
      <c r="AW116" s="199">
        <v>38.5</v>
      </c>
      <c r="AX116" s="199">
        <v>1</v>
      </c>
      <c r="AY116" s="199">
        <v>5550</v>
      </c>
      <c r="AZ116" s="199">
        <v>0</v>
      </c>
      <c r="BA116" s="5">
        <v>3951.4</v>
      </c>
      <c r="BB116" s="13">
        <v>86576.1</v>
      </c>
      <c r="BC116" s="190">
        <f>MAX(ROUND(IF(F116&lt;4,IF(H116=0,(SUM(Y116:AD116)*Worksheet!$E$26+Y116*Worksheet!$E$27+AR116*Worksheet!$E$39)*-BaseRate,0)),2),MIN(0,-DI116))</f>
        <v>0</v>
      </c>
      <c r="BD116" s="190">
        <f>MAX(ROUND(IF(F116=4,0,IF(I116=0,0,ROUND(SUM(Y116:AD116)*Worksheet!$E$28,2)*-BaseRate)),2),MIN(0,-DI116-BC116))</f>
        <v>-697.98</v>
      </c>
      <c r="BE116" s="130">
        <f t="shared" si="87"/>
        <v>0</v>
      </c>
      <c r="BF116" s="130">
        <f t="shared" si="88"/>
        <v>1403</v>
      </c>
      <c r="BG116" s="73"/>
      <c r="BH116" s="191">
        <f t="shared" si="89"/>
        <v>28020.43</v>
      </c>
      <c r="BI116" s="191">
        <f t="shared" si="90"/>
        <v>9646</v>
      </c>
      <c r="BJ116" s="232">
        <f>IFERROR(ROUND(IF(AND(BB116*1.12&lt;N116*60/1000,N116/CL116&lt;STVPP*0.2),(CL116*STVPP*0.2*Worksheet!$F$88/1000-BB116*1.12)*PropTaxAdj,IF(BB116*1.12&lt;N116*60/1000,(N116*60/1000-BB116*1.12)*PropTaxAdj,0)),2),0)</f>
        <v>0</v>
      </c>
      <c r="BK116" s="192">
        <f>ROUND(IF($F116=4,0,Y116*Worksheet!$E$16),2)</f>
        <v>0</v>
      </c>
      <c r="BL116" s="192">
        <f>ROUND(IF($F116=4,0,Z116*Worksheet!$E$17),2)</f>
        <v>2</v>
      </c>
      <c r="BM116" s="192">
        <f>ROUND(IF($F116=4,0,AA116*Worksheet!$E$18),2)</f>
        <v>18</v>
      </c>
      <c r="BN116" s="192">
        <f>ROUND(IF($F116=4,0,AB116*Worksheet!$E$19),2)</f>
        <v>9</v>
      </c>
      <c r="BO116" s="192">
        <f>ROUND(IF($F116=4,0,AC116*Worksheet!$E$20),2)</f>
        <v>0</v>
      </c>
      <c r="BP116" s="192">
        <f>ROUND(AD116*Worksheet!$E$21,2)</f>
        <v>0</v>
      </c>
      <c r="BQ116" s="192">
        <f t="shared" si="76"/>
        <v>29</v>
      </c>
      <c r="BR116" s="192">
        <f>ROUND(AD116*Worksheet!$E$25,2)</f>
        <v>0</v>
      </c>
      <c r="BS116" s="192">
        <f>ROUND(SUM(BQ116)*Worksheet!$E$26,2)</f>
        <v>2.5499999999999998</v>
      </c>
      <c r="BT116" s="192">
        <f>ROUND(Y116*Worksheet!$E$27,2)</f>
        <v>0</v>
      </c>
      <c r="BU116" s="192">
        <f>ROUND(AO116*Worksheet!$E$29,2)</f>
        <v>0</v>
      </c>
      <c r="BV116" s="192">
        <f>ROUND(AP116*Worksheet!$E$30,2)</f>
        <v>0</v>
      </c>
      <c r="BW116" s="192">
        <f>ROUND(IF($I116&lt;&gt;0,$BQ116*Worksheet!$E$28,0),2)</f>
        <v>0.06</v>
      </c>
      <c r="BX116" s="192">
        <f>ROUND(AE116*Worksheet!$E$31,2)</f>
        <v>0</v>
      </c>
      <c r="BY116" s="192">
        <f>ROUND(AF116*Worksheet!$E$32,2)</f>
        <v>0</v>
      </c>
      <c r="BZ116" s="192">
        <f>ROUND(AG116*Worksheet!$E$33,2)</f>
        <v>0</v>
      </c>
      <c r="CA116" s="192">
        <f>ROUND(ROUND(AH116*BQ116,2)*Worksheet!$E$34,2)</f>
        <v>0.01</v>
      </c>
      <c r="CB116" s="192">
        <f>ROUND(AI116*Worksheet!$E$35,2)</f>
        <v>0</v>
      </c>
      <c r="CC116" s="192">
        <f>ROUND(AJ116*Worksheet!$E$36,2)</f>
        <v>0</v>
      </c>
      <c r="CD116" s="192">
        <f>ROUND(AQ116*Worksheet!$E$38,2)</f>
        <v>0</v>
      </c>
      <c r="CE116" s="192">
        <f>ROUND(AR116*Worksheet!$E$39,2)</f>
        <v>0</v>
      </c>
      <c r="CF116" s="192">
        <f>IF(AND(L116&gt;275,SUM(Y116:AD116)&lt;100),ROUND(SUM(Y116:AD116)*Worksheet!$E$41,2),0)</f>
        <v>0</v>
      </c>
      <c r="CG116" s="192">
        <f>IF(AND(L116&gt;600,SUM(Y116:AD116)&lt;50),ROUND((50-SUM(Y116:AD116))*(Worksheet!$E$41+1),2),0)</f>
        <v>0</v>
      </c>
      <c r="CH116" s="192">
        <f t="shared" si="77"/>
        <v>31.62</v>
      </c>
      <c r="CI116" s="116">
        <f t="shared" si="95"/>
        <v>0</v>
      </c>
      <c r="CJ116" s="116">
        <f t="shared" si="96"/>
        <v>31.62</v>
      </c>
      <c r="CK116" s="95">
        <f t="shared" si="91"/>
        <v>1.67</v>
      </c>
      <c r="CL116" s="116">
        <f t="shared" si="97"/>
        <v>52.81</v>
      </c>
      <c r="CM116" s="116">
        <f t="shared" si="98"/>
        <v>52.81</v>
      </c>
      <c r="CN116" s="116">
        <f t="shared" si="92"/>
        <v>614338.73</v>
      </c>
      <c r="CO116" s="131">
        <f>ROUND(IF(F116=4,0,(MAX(ROUND(MAX((BI116*MIN(CL116,K116)*Worksheet!$D$126)+MAX(CL116-K116,0)*Worksheet!$F$50,SUM(J116)),2),SUM(CN116))-SUM(CN116))*MinAdj),2)</f>
        <v>0</v>
      </c>
      <c r="CP116" s="192">
        <f t="shared" si="93"/>
        <v>614338.73</v>
      </c>
      <c r="CQ116" s="131">
        <f>IF(CL116=0,0,-MIN(CP116,MIN(CP116,ROUND(IF(ROUND(IF(CL116=0,0,N116/CL116),2)&lt;STVPP*0.2,STVPP*0.2*CL116*Worksheet!$F$88/1000,N116*Worksheet!$F$88/1000),2))))</f>
        <v>-88785.54</v>
      </c>
      <c r="CR116" s="193">
        <f>-MIN(SUM(CP116,CQ116),IF($P116=0,(ROUND(Worksheet!$E$77*S116,2)+ROUND(Worksheet!$E$78*T116,2)+ROUND(Worksheet!$E$79*U116,2)+ROUND(Worksheet!$E$80*V116,2)+ROUND(Worksheet!$E$81*W116,2)+ROUND(Worksheet!$E$82*X116,2)),(ROUND(ROUND(S116*ROUND((1-$O116/$P116),4),2)*Worksheet!$E$77,2)+ROUND(ROUND(T116*ROUND((1-$O116/$P116),4),2)*Worksheet!$E$78,2)+ROUND(ROUND(U116*ROUND((1-$O116/$P116),4),2)*Worksheet!$E$79,2)+ROUND(ROUND(V116*ROUND((1-$O116/$P116),4),2)*Worksheet!$E$80,2)+ROUND(ROUND(W116*ROUND((1-$O116/$P116),4),2)*Worksheet!$E$81,2)+ROUND(ROUND(X116*ROUND((1-$O116/$P116),4),2)*Worksheet!$E$82,2))))</f>
        <v>-923.61999999999989</v>
      </c>
      <c r="CS116" s="192">
        <f t="shared" si="78"/>
        <v>524629.56999999995</v>
      </c>
      <c r="CT116" s="116">
        <f>ROUND(MIN(BA116,ROUND((ROUND(AS116*Worksheet!$E$104,2)+ROUND(AV116*Worksheet!$E$107,2)+ROUND(AT116*Worksheet!$E$105,2)+ROUND(AW116*Worksheet!$E$108,2)+ROUND(AU116*Worksheet!$E$106,2)+ROUND(AX116*Worksheet!$E$109,2)+ROUND(AY116*Worksheet!$E$110,2)+ROUND(AZ116*Worksheet!$E$111,2))*Worksheet!$D$114,2))*BaseRate,2)</f>
        <v>4071.55</v>
      </c>
      <c r="CU116" s="121">
        <v>0</v>
      </c>
      <c r="CV116" s="121">
        <v>0</v>
      </c>
      <c r="CW116" s="121">
        <v>0</v>
      </c>
      <c r="CX116" s="121">
        <v>0</v>
      </c>
      <c r="CY116" s="121">
        <v>0</v>
      </c>
      <c r="DA116" s="192">
        <f t="shared" si="79"/>
        <v>0</v>
      </c>
      <c r="DB116" s="192">
        <f>MAX(-CT116,MIN(0,ROUND($R116*EFBPercent+EFBAdd,2)-$Q116),MIN(0,SUM($CS116:CS116)+MIN(0,ROUND($R116*EFBPercent+EFBAdd,2)-$Q116)))</f>
        <v>0</v>
      </c>
      <c r="DC116" s="192">
        <f>IF(CU116&lt;0,0,MAX(-CU116,MIN(0,ROUND($R116*EFBPercent+EFBAdd,2)-$Q116),MIN(0,SUM($CS116:CT116)+MIN(0,ROUND($R116*EFBPercent+EFBAdd,2)-$Q116))))</f>
        <v>0</v>
      </c>
      <c r="DD116" s="192">
        <f>IF(CV116&lt;0,0,MAX(-CV116,MIN(0,ROUND($R116*EFBPercent+EFBAdd,2)-$Q116),MIN(0,SUM($CS116:CU116)+MIN(0,ROUND($R116*EFBPercent+EFBAdd,2)-$Q116))))</f>
        <v>0</v>
      </c>
      <c r="DE116" s="192">
        <f>IF(CW116&lt;0,0,MAX(-CW116,MIN(0,ROUND($R116*EFBPercent+EFBAdd,2)-$Q116),MIN(0,SUM($CS116:CV116)+MIN(0,ROUND($R116*EFBPercent+EFBAdd,2)-$Q116))))</f>
        <v>0</v>
      </c>
      <c r="DF116" s="192">
        <f>IF(CX116&lt;0,0,MAX(-CX116,MIN(0,ROUND($R116*EFBPercent+EFBAdd,2)-$Q116),MIN(0,SUM($CS116:CW116)+MIN(0,ROUND($R116*EFBPercent+EFBAdd,2)-$Q116))))</f>
        <v>0</v>
      </c>
      <c r="DG116" s="192">
        <f>MAX(-CY116,MIN(0,ROUND($R116*EFBPercent+EFBAdd,2)-$Q116),MIN(0,SUM($CS116:CX116)+MIN(0,ROUND($R116*EFBPercent+EFBAdd,2)-$Q116)))</f>
        <v>0</v>
      </c>
      <c r="DI116" s="73">
        <f t="shared" si="80"/>
        <v>524629.56999999995</v>
      </c>
      <c r="DJ116" s="73">
        <f t="shared" si="81"/>
        <v>4071.55</v>
      </c>
      <c r="DK116" s="73">
        <f t="shared" si="82"/>
        <v>0</v>
      </c>
      <c r="DL116" s="73">
        <f t="shared" si="83"/>
        <v>0</v>
      </c>
      <c r="DM116" s="73">
        <f t="shared" si="84"/>
        <v>0</v>
      </c>
      <c r="DN116" s="73">
        <f t="shared" si="85"/>
        <v>0</v>
      </c>
      <c r="DO116" s="73">
        <f t="shared" si="86"/>
        <v>0</v>
      </c>
      <c r="DP116" s="73"/>
      <c r="DQ116" s="73"/>
    </row>
    <row r="117" spans="1:121" ht="10.199999999999999" x14ac:dyDescent="0.2">
      <c r="A117" s="4" t="s">
        <v>589</v>
      </c>
      <c r="B117" s="188">
        <v>1042</v>
      </c>
      <c r="C117" s="189" t="s">
        <v>115</v>
      </c>
      <c r="D117" s="4">
        <v>2027</v>
      </c>
      <c r="E117" s="4" t="s">
        <v>428</v>
      </c>
      <c r="F117" s="4">
        <v>1</v>
      </c>
      <c r="G117" s="4" t="s">
        <v>669</v>
      </c>
      <c r="H117" s="4">
        <v>0</v>
      </c>
      <c r="I117" s="4" t="s">
        <v>1091</v>
      </c>
      <c r="J117" s="5">
        <v>2821840.83</v>
      </c>
      <c r="K117" s="5">
        <v>292.54000000000002</v>
      </c>
      <c r="L117" s="5">
        <v>631.91999999999996</v>
      </c>
      <c r="M117" s="5">
        <v>0</v>
      </c>
      <c r="N117" s="5">
        <v>8657335</v>
      </c>
      <c r="O117" s="5">
        <v>52.23</v>
      </c>
      <c r="P117" s="5">
        <v>125.1</v>
      </c>
      <c r="Q117" s="5">
        <v>0</v>
      </c>
      <c r="R117" s="5">
        <v>0</v>
      </c>
      <c r="S117" s="5">
        <v>38181.17</v>
      </c>
      <c r="T117" s="5">
        <v>0</v>
      </c>
      <c r="U117" s="5">
        <v>0</v>
      </c>
      <c r="V117" s="5">
        <v>9959.66</v>
      </c>
      <c r="W117" s="5">
        <v>3178.6200000000003</v>
      </c>
      <c r="X117" s="5">
        <v>13348.51</v>
      </c>
      <c r="Y117" s="5">
        <v>0.66</v>
      </c>
      <c r="Z117" s="5">
        <v>15</v>
      </c>
      <c r="AA117" s="5">
        <v>100</v>
      </c>
      <c r="AB117" s="5">
        <v>46</v>
      </c>
      <c r="AC117" s="5">
        <v>85</v>
      </c>
      <c r="AD117" s="5">
        <v>0</v>
      </c>
      <c r="AE117" s="5">
        <v>0</v>
      </c>
      <c r="AF117" s="5">
        <v>0</v>
      </c>
      <c r="AG117" s="5">
        <v>0</v>
      </c>
      <c r="AH117" s="5">
        <v>0.29399999999999998</v>
      </c>
      <c r="AI117" s="5">
        <v>0</v>
      </c>
      <c r="AJ117" s="5">
        <v>0</v>
      </c>
      <c r="AK117" s="5">
        <v>0</v>
      </c>
      <c r="AL117" s="5">
        <v>246.79000000000002</v>
      </c>
      <c r="AM117" s="5">
        <v>0</v>
      </c>
      <c r="AN117" s="5">
        <v>246</v>
      </c>
      <c r="AO117" s="5">
        <f t="shared" si="94"/>
        <v>0.79000000000002046</v>
      </c>
      <c r="AP117" s="5">
        <f t="shared" si="102"/>
        <v>0</v>
      </c>
      <c r="AQ117" s="5">
        <v>0</v>
      </c>
      <c r="AR117" s="5">
        <v>0</v>
      </c>
      <c r="AS117" s="5">
        <v>0</v>
      </c>
      <c r="AT117" s="5">
        <v>210528</v>
      </c>
      <c r="AU117" s="5">
        <v>0</v>
      </c>
      <c r="AV117" s="5">
        <v>3440</v>
      </c>
      <c r="AW117" s="199">
        <v>631.91999999999996</v>
      </c>
      <c r="AX117" s="199">
        <v>1</v>
      </c>
      <c r="AY117" s="199">
        <v>0</v>
      </c>
      <c r="AZ117" s="199">
        <v>0</v>
      </c>
      <c r="BA117" s="5">
        <v>534971.89</v>
      </c>
      <c r="BB117" s="13">
        <v>511204.14</v>
      </c>
      <c r="BC117" s="190">
        <f>MAX(ROUND(IF(F117&lt;4,IF(H117=0,(SUM(Y117:AD117)*Worksheet!$E$26+Y117*Worksheet!$E$27+AR117*Worksheet!$E$39)*-BaseRate,0)),2),MIN(0,-DI117))</f>
        <v>-253812.05</v>
      </c>
      <c r="BD117" s="190">
        <f>MAX(ROUND(IF(F117=4,0,IF(I117=0,0,ROUND(SUM(Y117:AD117)*Worksheet!$E$28,2)*-BaseRate)),2),MIN(0,-DI117-BC117))</f>
        <v>-5700.17</v>
      </c>
      <c r="BE117" s="130">
        <f t="shared" si="87"/>
        <v>2526</v>
      </c>
      <c r="BF117" s="130">
        <f t="shared" si="88"/>
        <v>1403</v>
      </c>
      <c r="BG117" s="73"/>
      <c r="BH117" s="191">
        <f t="shared" si="89"/>
        <v>26309.29</v>
      </c>
      <c r="BI117" s="191">
        <f t="shared" si="90"/>
        <v>9646</v>
      </c>
      <c r="BJ117" s="232">
        <f>IFERROR(ROUND(IF(AND(BB117*1.12&lt;N117*60/1000,N117/CL117&lt;STVPP*0.2),(CL117*STVPP*0.2*Worksheet!$F$88/1000-BB117*1.12)*PropTaxAdj,IF(BB117*1.12&lt;N117*60/1000,(N117*60/1000-BB117*1.12)*PropTaxAdj,0)),2),0)</f>
        <v>0</v>
      </c>
      <c r="BK117" s="192">
        <f>ROUND(IF($F117=4,0,Y117*Worksheet!$E$16),2)</f>
        <v>0.66</v>
      </c>
      <c r="BL117" s="192">
        <f>ROUND(IF($F117=4,0,Z117*Worksheet!$E$17),2)</f>
        <v>15</v>
      </c>
      <c r="BM117" s="192">
        <f>ROUND(IF($F117=4,0,AA117*Worksheet!$E$18),2)</f>
        <v>100</v>
      </c>
      <c r="BN117" s="192">
        <f>ROUND(IF($F117=4,0,AB117*Worksheet!$E$19),2)</f>
        <v>46</v>
      </c>
      <c r="BO117" s="192">
        <f>ROUND(IF($F117=4,0,AC117*Worksheet!$E$20),2)</f>
        <v>85</v>
      </c>
      <c r="BP117" s="192">
        <f>ROUND(AD117*Worksheet!$E$21,2)</f>
        <v>0</v>
      </c>
      <c r="BQ117" s="192">
        <f t="shared" si="76"/>
        <v>246.66</v>
      </c>
      <c r="BR117" s="192">
        <f>ROUND(AD117*Worksheet!$E$25,2)</f>
        <v>0</v>
      </c>
      <c r="BS117" s="192">
        <f>ROUND(SUM(BQ117)*Worksheet!$E$26,2)</f>
        <v>21.71</v>
      </c>
      <c r="BT117" s="192">
        <f>ROUND(Y117*Worksheet!$E$27,2)</f>
        <v>0.11</v>
      </c>
      <c r="BU117" s="192">
        <f>ROUND(AO117*Worksheet!$E$29,2)</f>
        <v>0.79</v>
      </c>
      <c r="BV117" s="192">
        <f>ROUND(AP117*Worksheet!$E$30,2)</f>
        <v>0</v>
      </c>
      <c r="BW117" s="192">
        <f>ROUND(IF($I117&lt;&gt;0,$BQ117*Worksheet!$E$28,0),2)</f>
        <v>0.49</v>
      </c>
      <c r="BX117" s="192">
        <f>ROUND(AE117*Worksheet!$E$31,2)</f>
        <v>0</v>
      </c>
      <c r="BY117" s="192">
        <f>ROUND(AF117*Worksheet!$E$32,2)</f>
        <v>0</v>
      </c>
      <c r="BZ117" s="192">
        <f>ROUND(AG117*Worksheet!$E$33,2)</f>
        <v>0</v>
      </c>
      <c r="CA117" s="192">
        <f>ROUND(ROUND(AH117*BQ117,2)*Worksheet!$E$34,2)</f>
        <v>1.81</v>
      </c>
      <c r="CB117" s="192">
        <f>ROUND(AI117*Worksheet!$E$35,2)</f>
        <v>0</v>
      </c>
      <c r="CC117" s="192">
        <f>ROUND(AJ117*Worksheet!$E$36,2)</f>
        <v>0</v>
      </c>
      <c r="CD117" s="192">
        <f>ROUND(AQ117*Worksheet!$E$38,2)</f>
        <v>0</v>
      </c>
      <c r="CE117" s="192">
        <f>ROUND(AR117*Worksheet!$E$39,2)</f>
        <v>0</v>
      </c>
      <c r="CF117" s="192">
        <f>IF(AND(L117&gt;275,SUM(Y117:AD117)&lt;100),ROUND(SUM(Y117:AD117)*Worksheet!$E$41,2),0)</f>
        <v>0</v>
      </c>
      <c r="CG117" s="192">
        <f>IF(AND(L117&gt;600,SUM(Y117:AD117)&lt;50),ROUND((50-SUM(Y117:AD117))*(Worksheet!$E$41+1),2),0)</f>
        <v>0</v>
      </c>
      <c r="CH117" s="192">
        <f t="shared" si="77"/>
        <v>271.57000000000005</v>
      </c>
      <c r="CI117" s="116">
        <f t="shared" si="95"/>
        <v>0</v>
      </c>
      <c r="CJ117" s="116">
        <f t="shared" si="96"/>
        <v>271.57000000000005</v>
      </c>
      <c r="CK117" s="95">
        <f t="shared" si="91"/>
        <v>1.2117</v>
      </c>
      <c r="CL117" s="116">
        <f t="shared" si="97"/>
        <v>329.06</v>
      </c>
      <c r="CM117" s="116">
        <f t="shared" si="98"/>
        <v>329.06</v>
      </c>
      <c r="CN117" s="116">
        <f t="shared" si="92"/>
        <v>3827954.98</v>
      </c>
      <c r="CO117" s="131">
        <f>ROUND(IF(F117=4,0,(MAX(ROUND(MAX((BI117*MIN(CL117,K117)*Worksheet!$D$126)+MAX(CL117-K117,0)*Worksheet!$F$50,SUM(J117)),2),SUM(CN117))-SUM(CN117))*MinAdj),2)</f>
        <v>0</v>
      </c>
      <c r="CP117" s="192">
        <f t="shared" si="93"/>
        <v>3827954.98</v>
      </c>
      <c r="CQ117" s="131">
        <f>IF(CL117=0,0,-MIN(CP117,MIN(CP117,ROUND(IF(ROUND(IF(CL117=0,0,N117/CL117),2)&lt;STVPP*0.2,STVPP*0.2*CL117*Worksheet!$F$88/1000,N117*Worksheet!$F$88/1000),2))))</f>
        <v>-519440.1</v>
      </c>
      <c r="CR117" s="193">
        <f>-MIN(SUM(CP117,CQ117),IF($P117=0,(ROUND(Worksheet!$E$77*S117,2)+ROUND(Worksheet!$E$78*T117,2)+ROUND(Worksheet!$E$79*U117,2)+ROUND(Worksheet!$E$80*V117,2)+ROUND(Worksheet!$E$81*W117,2)+ROUND(Worksheet!$E$82*X117,2)),(ROUND(ROUND(S117*ROUND((1-$O117/$P117),4),2)*Worksheet!$E$77,2)+ROUND(ROUND(T117*ROUND((1-$O117/$P117),4),2)*Worksheet!$E$78,2)+ROUND(ROUND(U117*ROUND((1-$O117/$P117),4),2)*Worksheet!$E$79,2)+ROUND(ROUND(V117*ROUND((1-$O117/$P117),4),2)*Worksheet!$E$80,2)+ROUND(ROUND(W117*ROUND((1-$O117/$P117),4),2)*Worksheet!$E$81,2)+ROUND(ROUND(X117*ROUND((1-$O117/$P117),4),2)*Worksheet!$E$82,2))))</f>
        <v>-28251.820000000003</v>
      </c>
      <c r="CS117" s="192">
        <f t="shared" si="78"/>
        <v>3280263.06</v>
      </c>
      <c r="CT117" s="116">
        <f>ROUND(MIN(BA117,ROUND((ROUND(AS117*Worksheet!$E$104,2)+ROUND(AV117*Worksheet!$E$107,2)+ROUND(AT117*Worksheet!$E$105,2)+ROUND(AW117*Worksheet!$E$108,2)+ROUND(AU117*Worksheet!$E$106,2)+ROUND(AX117*Worksheet!$E$109,2)+ROUND(AY117*Worksheet!$E$110,2)+ROUND(AZ117*Worksheet!$E$111,2))*Worksheet!$D$114,2))*BaseRate,2)</f>
        <v>291755.64</v>
      </c>
      <c r="CU117" s="121">
        <v>0</v>
      </c>
      <c r="CV117" s="121">
        <v>0</v>
      </c>
      <c r="CW117" s="121">
        <v>0</v>
      </c>
      <c r="CX117" s="121">
        <v>0</v>
      </c>
      <c r="CY117" s="121">
        <v>0</v>
      </c>
      <c r="DA117" s="192">
        <f t="shared" si="79"/>
        <v>0</v>
      </c>
      <c r="DB117" s="192">
        <f>MAX(-CT117,MIN(0,ROUND($R117*EFBPercent+EFBAdd,2)-$Q117),MIN(0,SUM($CS117:CS117)+MIN(0,ROUND($R117*EFBPercent+EFBAdd,2)-$Q117)))</f>
        <v>0</v>
      </c>
      <c r="DC117" s="192">
        <f>IF(CU117&lt;0,0,MAX(-CU117,MIN(0,ROUND($R117*EFBPercent+EFBAdd,2)-$Q117),MIN(0,SUM($CS117:CT117)+MIN(0,ROUND($R117*EFBPercent+EFBAdd,2)-$Q117))))</f>
        <v>0</v>
      </c>
      <c r="DD117" s="192">
        <f>IF(CV117&lt;0,0,MAX(-CV117,MIN(0,ROUND($R117*EFBPercent+EFBAdd,2)-$Q117),MIN(0,SUM($CS117:CU117)+MIN(0,ROUND($R117*EFBPercent+EFBAdd,2)-$Q117))))</f>
        <v>0</v>
      </c>
      <c r="DE117" s="192">
        <f>IF(CW117&lt;0,0,MAX(-CW117,MIN(0,ROUND($R117*EFBPercent+EFBAdd,2)-$Q117),MIN(0,SUM($CS117:CV117)+MIN(0,ROUND($R117*EFBPercent+EFBAdd,2)-$Q117))))</f>
        <v>0</v>
      </c>
      <c r="DF117" s="192">
        <f>IF(CX117&lt;0,0,MAX(-CX117,MIN(0,ROUND($R117*EFBPercent+EFBAdd,2)-$Q117),MIN(0,SUM($CS117:CW117)+MIN(0,ROUND($R117*EFBPercent+EFBAdd,2)-$Q117))))</f>
        <v>0</v>
      </c>
      <c r="DG117" s="192">
        <f>MAX(-CY117,MIN(0,ROUND($R117*EFBPercent+EFBAdd,2)-$Q117),MIN(0,SUM($CS117:CX117)+MIN(0,ROUND($R117*EFBPercent+EFBAdd,2)-$Q117)))</f>
        <v>0</v>
      </c>
      <c r="DI117" s="73">
        <f t="shared" si="80"/>
        <v>3280263.06</v>
      </c>
      <c r="DJ117" s="73">
        <f t="shared" si="81"/>
        <v>291755.64</v>
      </c>
      <c r="DK117" s="73">
        <f t="shared" si="82"/>
        <v>0</v>
      </c>
      <c r="DL117" s="73">
        <f t="shared" si="83"/>
        <v>0</v>
      </c>
      <c r="DM117" s="73">
        <f t="shared" si="84"/>
        <v>0</v>
      </c>
      <c r="DN117" s="73">
        <f t="shared" si="85"/>
        <v>0</v>
      </c>
      <c r="DO117" s="73">
        <f t="shared" si="86"/>
        <v>0</v>
      </c>
      <c r="DP117" s="73"/>
      <c r="DQ117" s="73"/>
    </row>
    <row r="118" spans="1:121" ht="10.199999999999999" x14ac:dyDescent="0.2">
      <c r="A118" s="4" t="s">
        <v>590</v>
      </c>
      <c r="B118" s="188">
        <v>1050</v>
      </c>
      <c r="C118" s="189" t="s">
        <v>116</v>
      </c>
      <c r="D118" s="4">
        <v>2027</v>
      </c>
      <c r="E118" s="4" t="s">
        <v>429</v>
      </c>
      <c r="F118" s="4">
        <v>1</v>
      </c>
      <c r="G118" s="4" t="s">
        <v>672</v>
      </c>
      <c r="H118" s="4">
        <v>100</v>
      </c>
      <c r="I118" s="4" t="s">
        <v>1152</v>
      </c>
      <c r="J118" s="5">
        <v>1974632.6600000001</v>
      </c>
      <c r="K118" s="5">
        <v>204.71</v>
      </c>
      <c r="L118" s="5">
        <v>425.75</v>
      </c>
      <c r="M118" s="5">
        <v>0</v>
      </c>
      <c r="N118" s="5">
        <v>12818201</v>
      </c>
      <c r="O118" s="5">
        <v>0</v>
      </c>
      <c r="P118" s="5">
        <v>84.86</v>
      </c>
      <c r="Q118" s="5">
        <v>0</v>
      </c>
      <c r="R118" s="5">
        <v>0</v>
      </c>
      <c r="S118" s="5">
        <v>8518.64</v>
      </c>
      <c r="T118" s="5">
        <v>0</v>
      </c>
      <c r="U118" s="5">
        <v>0</v>
      </c>
      <c r="V118" s="5">
        <v>597427.56000000006</v>
      </c>
      <c r="W118" s="5">
        <v>2548.42</v>
      </c>
      <c r="X118" s="5">
        <v>13263.150000000001</v>
      </c>
      <c r="Y118" s="5">
        <v>0.03</v>
      </c>
      <c r="Z118" s="5">
        <v>10</v>
      </c>
      <c r="AA118" s="5">
        <v>58</v>
      </c>
      <c r="AB118" s="5">
        <v>13</v>
      </c>
      <c r="AC118" s="5">
        <v>46</v>
      </c>
      <c r="AD118" s="5">
        <v>0</v>
      </c>
      <c r="AE118" s="5">
        <v>0</v>
      </c>
      <c r="AF118" s="5">
        <v>1</v>
      </c>
      <c r="AG118" s="5">
        <v>0</v>
      </c>
      <c r="AH118" s="5">
        <v>0.40799999999999997</v>
      </c>
      <c r="AI118" s="5">
        <v>0</v>
      </c>
      <c r="AJ118" s="5">
        <v>0</v>
      </c>
      <c r="AK118" s="5">
        <v>0</v>
      </c>
      <c r="AL118" s="5">
        <v>127.19</v>
      </c>
      <c r="AM118" s="5">
        <v>1.9599999999999937</v>
      </c>
      <c r="AN118" s="5">
        <v>127</v>
      </c>
      <c r="AO118" s="5">
        <f t="shared" si="94"/>
        <v>0.18999999999999773</v>
      </c>
      <c r="AP118" s="5">
        <f t="shared" si="102"/>
        <v>0</v>
      </c>
      <c r="AQ118" s="5">
        <v>3.14</v>
      </c>
      <c r="AR118" s="5">
        <v>0.04</v>
      </c>
      <c r="AS118" s="5">
        <v>0</v>
      </c>
      <c r="AT118" s="5">
        <v>77350</v>
      </c>
      <c r="AU118" s="5">
        <v>0</v>
      </c>
      <c r="AV118" s="5">
        <v>1050</v>
      </c>
      <c r="AW118" s="199">
        <v>425.75</v>
      </c>
      <c r="AX118" s="199">
        <v>1</v>
      </c>
      <c r="AY118" s="199">
        <v>0</v>
      </c>
      <c r="AZ118" s="199">
        <v>0</v>
      </c>
      <c r="BA118" s="5">
        <v>73184.41</v>
      </c>
      <c r="BB118" s="13">
        <v>721933.32</v>
      </c>
      <c r="BC118" s="190">
        <f>MAX(ROUND(IF(F118&lt;4,IF(H118=0,(SUM(Y118:AD118)*Worksheet!$E$26+Y118*Worksheet!$E$27+AR118*Worksheet!$E$39)*-BaseRate,0)),2),MIN(0,-DI118))</f>
        <v>0</v>
      </c>
      <c r="BD118" s="190">
        <f>MAX(ROUND(IF(F118=4,0,IF(I118=0,0,ROUND(SUM(Y118:AD118)*Worksheet!$E$28,2)*-BaseRate)),2),MIN(0,-DI118-BC118))</f>
        <v>-2908.25</v>
      </c>
      <c r="BE118" s="130">
        <f t="shared" si="87"/>
        <v>0</v>
      </c>
      <c r="BF118" s="130">
        <f t="shared" si="88"/>
        <v>1412</v>
      </c>
      <c r="BG118" s="73"/>
      <c r="BH118" s="191">
        <f t="shared" si="89"/>
        <v>56220.18</v>
      </c>
      <c r="BI118" s="191">
        <f t="shared" si="90"/>
        <v>9646</v>
      </c>
      <c r="BJ118" s="232">
        <f>IFERROR(ROUND(IF(AND(BB118*1.12&lt;N118*60/1000,N118/CL118&lt;STVPP*0.2),(CL118*STVPP*0.2*Worksheet!$F$88/1000-BB118*1.12)*PropTaxAdj,IF(BB118*1.12&lt;N118*60/1000,(N118*60/1000-BB118*1.12)*PropTaxAdj,0)),2),0)</f>
        <v>0</v>
      </c>
      <c r="BK118" s="192">
        <f>ROUND(IF($F118=4,0,Y118*Worksheet!$E$16),2)</f>
        <v>0.03</v>
      </c>
      <c r="BL118" s="192">
        <f>ROUND(IF($F118=4,0,Z118*Worksheet!$E$17),2)</f>
        <v>10</v>
      </c>
      <c r="BM118" s="192">
        <f>ROUND(IF($F118=4,0,AA118*Worksheet!$E$18),2)</f>
        <v>58</v>
      </c>
      <c r="BN118" s="192">
        <f>ROUND(IF($F118=4,0,AB118*Worksheet!$E$19),2)</f>
        <v>13</v>
      </c>
      <c r="BO118" s="192">
        <f>ROUND(IF($F118=4,0,AC118*Worksheet!$E$20),2)</f>
        <v>46</v>
      </c>
      <c r="BP118" s="192">
        <f>ROUND(AD118*Worksheet!$E$21,2)</f>
        <v>0</v>
      </c>
      <c r="BQ118" s="192">
        <f t="shared" si="76"/>
        <v>127.03</v>
      </c>
      <c r="BR118" s="192">
        <f>ROUND(AD118*Worksheet!$E$25,2)</f>
        <v>0</v>
      </c>
      <c r="BS118" s="192">
        <f>ROUND(SUM(BQ118)*Worksheet!$E$26,2)</f>
        <v>11.18</v>
      </c>
      <c r="BT118" s="192">
        <f>ROUND(Y118*Worksheet!$E$27,2)</f>
        <v>0.01</v>
      </c>
      <c r="BU118" s="192">
        <f>ROUND(AO118*Worksheet!$E$29,2)</f>
        <v>0.19</v>
      </c>
      <c r="BV118" s="192">
        <f>ROUND(AP118*Worksheet!$E$30,2)</f>
        <v>0</v>
      </c>
      <c r="BW118" s="192">
        <f>ROUND(IF($I118&lt;&gt;0,$BQ118*Worksheet!$E$28,0),2)</f>
        <v>0.25</v>
      </c>
      <c r="BX118" s="192">
        <f>ROUND(AE118*Worksheet!$E$31,2)</f>
        <v>0</v>
      </c>
      <c r="BY118" s="192">
        <f>ROUND(AF118*Worksheet!$E$32,2)</f>
        <v>0.28000000000000003</v>
      </c>
      <c r="BZ118" s="192">
        <f>ROUND(AG118*Worksheet!$E$33,2)</f>
        <v>0</v>
      </c>
      <c r="CA118" s="192">
        <f>ROUND(ROUND(AH118*BQ118,2)*Worksheet!$E$34,2)</f>
        <v>1.3</v>
      </c>
      <c r="CB118" s="192">
        <f>ROUND(AI118*Worksheet!$E$35,2)</f>
        <v>0</v>
      </c>
      <c r="CC118" s="192">
        <f>ROUND(AJ118*Worksheet!$E$36,2)</f>
        <v>0</v>
      </c>
      <c r="CD118" s="192">
        <f>ROUND(AQ118*Worksheet!$E$38,2)</f>
        <v>1.88</v>
      </c>
      <c r="CE118" s="192">
        <f>ROUND(AR118*Worksheet!$E$39,2)</f>
        <v>0.04</v>
      </c>
      <c r="CF118" s="192">
        <f>IF(AND(L118&gt;275,SUM(Y118:AD118)&lt;100),ROUND(SUM(Y118:AD118)*Worksheet!$E$41,2),0)</f>
        <v>0</v>
      </c>
      <c r="CG118" s="192">
        <f>IF(AND(L118&gt;600,SUM(Y118:AD118)&lt;50),ROUND((50-SUM(Y118:AD118))*(Worksheet!$E$41+1),2),0)</f>
        <v>0</v>
      </c>
      <c r="CH118" s="192">
        <f t="shared" si="77"/>
        <v>142.16</v>
      </c>
      <c r="CI118" s="116">
        <f t="shared" si="95"/>
        <v>0</v>
      </c>
      <c r="CJ118" s="116">
        <f t="shared" si="96"/>
        <v>142.16</v>
      </c>
      <c r="CK118" s="95">
        <f t="shared" si="91"/>
        <v>1.6037999999999999</v>
      </c>
      <c r="CL118" s="116">
        <f t="shared" si="97"/>
        <v>228</v>
      </c>
      <c r="CM118" s="116">
        <f t="shared" si="98"/>
        <v>228</v>
      </c>
      <c r="CN118" s="116">
        <f t="shared" si="92"/>
        <v>2652324</v>
      </c>
      <c r="CO118" s="131">
        <f>ROUND(IF(F118=4,0,(MAX(ROUND(MAX((BI118*MIN(CL118,K118)*Worksheet!$D$126)+MAX(CL118-K118,0)*Worksheet!$F$50,SUM(J118)),2),SUM(CN118))-SUM(CN118))*MinAdj),2)</f>
        <v>0</v>
      </c>
      <c r="CP118" s="192">
        <f t="shared" si="93"/>
        <v>2652324</v>
      </c>
      <c r="CQ118" s="131">
        <f>IF(CL118=0,0,-MIN(CP118,MIN(CP118,ROUND(IF(ROUND(IF(CL118=0,0,N118/CL118),2)&lt;STVPP*0.2,STVPP*0.2*CL118*Worksheet!$F$88/1000,N118*Worksheet!$F$88/1000),2))))</f>
        <v>-769092.06</v>
      </c>
      <c r="CR118" s="193">
        <f>-MIN(SUM(CP118,CQ118),IF($P118=0,(ROUND(Worksheet!$E$77*S118,2)+ROUND(Worksheet!$E$78*T118,2)+ROUND(Worksheet!$E$79*U118,2)+ROUND(Worksheet!$E$80*V118,2)+ROUND(Worksheet!$E$81*W118,2)+ROUND(Worksheet!$E$82*X118,2)),(ROUND(ROUND(S118*ROUND((1-$O118/$P118),4),2)*Worksheet!$E$77,2)+ROUND(ROUND(T118*ROUND((1-$O118/$P118),4),2)*Worksheet!$E$78,2)+ROUND(ROUND(U118*ROUND((1-$O118/$P118),4),2)*Worksheet!$E$79,2)+ROUND(ROUND(V118*ROUND((1-$O118/$P118),4),2)*Worksheet!$E$80,2)+ROUND(ROUND(W118*ROUND((1-$O118/$P118),4),2)*Worksheet!$E$81,2)+ROUND(ROUND(X118*ROUND((1-$O118/$P118),4),2)*Worksheet!$E$82,2))))</f>
        <v>-466318.32999999996</v>
      </c>
      <c r="CS118" s="192">
        <f t="shared" si="78"/>
        <v>1416913.6099999999</v>
      </c>
      <c r="CT118" s="116">
        <f>ROUND(MIN(BA118,ROUND((ROUND(AS118*Worksheet!$E$104,2)+ROUND(AV118*Worksheet!$E$107,2)+ROUND(AT118*Worksheet!$E$105,2)+ROUND(AW118*Worksheet!$E$108,2)+ROUND(AU118*Worksheet!$E$106,2)+ROUND(AX118*Worksheet!$E$109,2)+ROUND(AY118*Worksheet!$E$110,2)+ROUND(AZ118*Worksheet!$E$111,2))*Worksheet!$D$114,2))*BaseRate,2)</f>
        <v>108768.55</v>
      </c>
      <c r="CU118" s="121">
        <v>0</v>
      </c>
      <c r="CV118" s="121">
        <v>0</v>
      </c>
      <c r="CW118" s="121">
        <v>0</v>
      </c>
      <c r="CX118" s="121">
        <v>0</v>
      </c>
      <c r="CY118" s="121">
        <v>0</v>
      </c>
      <c r="DA118" s="192">
        <f t="shared" si="79"/>
        <v>0</v>
      </c>
      <c r="DB118" s="192">
        <f>MAX(-CT118,MIN(0,ROUND($R118*EFBPercent+EFBAdd,2)-$Q118),MIN(0,SUM($CS118:CS118)+MIN(0,ROUND($R118*EFBPercent+EFBAdd,2)-$Q118)))</f>
        <v>0</v>
      </c>
      <c r="DC118" s="192">
        <f>IF(CU118&lt;0,0,MAX(-CU118,MIN(0,ROUND($R118*EFBPercent+EFBAdd,2)-$Q118),MIN(0,SUM($CS118:CT118)+MIN(0,ROUND($R118*EFBPercent+EFBAdd,2)-$Q118))))</f>
        <v>0</v>
      </c>
      <c r="DD118" s="192">
        <f>IF(CV118&lt;0,0,MAX(-CV118,MIN(0,ROUND($R118*EFBPercent+EFBAdd,2)-$Q118),MIN(0,SUM($CS118:CU118)+MIN(0,ROUND($R118*EFBPercent+EFBAdd,2)-$Q118))))</f>
        <v>0</v>
      </c>
      <c r="DE118" s="192">
        <f>IF(CW118&lt;0,0,MAX(-CW118,MIN(0,ROUND($R118*EFBPercent+EFBAdd,2)-$Q118),MIN(0,SUM($CS118:CV118)+MIN(0,ROUND($R118*EFBPercent+EFBAdd,2)-$Q118))))</f>
        <v>0</v>
      </c>
      <c r="DF118" s="192">
        <f>IF(CX118&lt;0,0,MAX(-CX118,MIN(0,ROUND($R118*EFBPercent+EFBAdd,2)-$Q118),MIN(0,SUM($CS118:CW118)+MIN(0,ROUND($R118*EFBPercent+EFBAdd,2)-$Q118))))</f>
        <v>0</v>
      </c>
      <c r="DG118" s="192">
        <f>MAX(-CY118,MIN(0,ROUND($R118*EFBPercent+EFBAdd,2)-$Q118),MIN(0,SUM($CS118:CX118)+MIN(0,ROUND($R118*EFBPercent+EFBAdd,2)-$Q118)))</f>
        <v>0</v>
      </c>
      <c r="DI118" s="73">
        <f t="shared" si="80"/>
        <v>1416913.6099999999</v>
      </c>
      <c r="DJ118" s="73">
        <f t="shared" si="81"/>
        <v>108768.55</v>
      </c>
      <c r="DK118" s="73">
        <f t="shared" si="82"/>
        <v>0</v>
      </c>
      <c r="DL118" s="73">
        <f t="shared" si="83"/>
        <v>0</v>
      </c>
      <c r="DM118" s="73">
        <f t="shared" si="84"/>
        <v>0</v>
      </c>
      <c r="DN118" s="73">
        <f t="shared" si="85"/>
        <v>0</v>
      </c>
      <c r="DO118" s="73">
        <f t="shared" si="86"/>
        <v>0</v>
      </c>
      <c r="DP118" s="73"/>
      <c r="DQ118" s="73"/>
    </row>
    <row r="119" spans="1:121" ht="10.199999999999999" x14ac:dyDescent="0.2">
      <c r="A119" s="4" t="s">
        <v>838</v>
      </c>
      <c r="B119" s="188">
        <v>1120</v>
      </c>
      <c r="C119" s="189" t="s">
        <v>842</v>
      </c>
      <c r="D119" s="4">
        <v>2027</v>
      </c>
      <c r="E119" s="4" t="s">
        <v>1056</v>
      </c>
      <c r="F119" s="4">
        <v>1</v>
      </c>
      <c r="G119" s="4" t="s">
        <v>672</v>
      </c>
      <c r="H119" s="4">
        <v>100</v>
      </c>
      <c r="I119" s="4" t="s">
        <v>1091</v>
      </c>
      <c r="J119" s="5">
        <v>3791360.29</v>
      </c>
      <c r="K119" s="5">
        <v>393.05</v>
      </c>
      <c r="L119" s="5">
        <v>461.4</v>
      </c>
      <c r="M119" s="5">
        <v>0</v>
      </c>
      <c r="N119" s="5">
        <v>17169125</v>
      </c>
      <c r="O119" s="5">
        <v>0</v>
      </c>
      <c r="P119" s="5">
        <v>86.970000000000013</v>
      </c>
      <c r="Q119" s="5">
        <v>0</v>
      </c>
      <c r="R119" s="5">
        <v>0</v>
      </c>
      <c r="S119" s="5">
        <v>0</v>
      </c>
      <c r="T119" s="5">
        <v>33457.49</v>
      </c>
      <c r="U119" s="5">
        <v>0</v>
      </c>
      <c r="V119" s="5">
        <v>647058.93999999994</v>
      </c>
      <c r="W119" s="5">
        <v>3636.59</v>
      </c>
      <c r="X119" s="5">
        <v>11280.080000000002</v>
      </c>
      <c r="Y119" s="5">
        <v>4</v>
      </c>
      <c r="Z119" s="5">
        <v>31</v>
      </c>
      <c r="AA119" s="5">
        <v>184</v>
      </c>
      <c r="AB119" s="5">
        <v>46</v>
      </c>
      <c r="AC119" s="5">
        <v>110</v>
      </c>
      <c r="AD119" s="5">
        <v>0</v>
      </c>
      <c r="AE119" s="5">
        <v>0</v>
      </c>
      <c r="AF119" s="5">
        <v>0</v>
      </c>
      <c r="AG119" s="5">
        <v>0</v>
      </c>
      <c r="AH119" s="5">
        <v>0.28599999999999998</v>
      </c>
      <c r="AI119" s="5">
        <v>0</v>
      </c>
      <c r="AJ119" s="5">
        <v>0</v>
      </c>
      <c r="AK119" s="5">
        <v>0</v>
      </c>
      <c r="AL119" s="5">
        <v>371.11</v>
      </c>
      <c r="AM119" s="5">
        <v>0</v>
      </c>
      <c r="AN119" s="5">
        <v>371</v>
      </c>
      <c r="AO119" s="5">
        <f t="shared" si="94"/>
        <v>0.11000000000001364</v>
      </c>
      <c r="AP119" s="5">
        <f t="shared" si="102"/>
        <v>0</v>
      </c>
      <c r="AQ119" s="5">
        <v>8.98</v>
      </c>
      <c r="AR119" s="5">
        <v>0.08</v>
      </c>
      <c r="AS119" s="5">
        <v>0</v>
      </c>
      <c r="AT119" s="5">
        <v>232581.2</v>
      </c>
      <c r="AU119" s="5">
        <v>0</v>
      </c>
      <c r="AV119" s="5">
        <v>2768</v>
      </c>
      <c r="AW119" s="199">
        <v>461.4</v>
      </c>
      <c r="AX119" s="199">
        <v>2</v>
      </c>
      <c r="AY119" s="199">
        <v>0</v>
      </c>
      <c r="AZ119" s="199">
        <v>0</v>
      </c>
      <c r="BA119" s="5">
        <v>421564.34</v>
      </c>
      <c r="BB119" s="13">
        <v>1025145.78</v>
      </c>
      <c r="BC119" s="190">
        <f>MAX(ROUND(IF(F119&lt;4,IF(H119=0,(SUM(Y119:AD119)*Worksheet!$E$26+Y119*Worksheet!$E$27+AR119*Worksheet!$E$39)*-BaseRate,0)),2),MIN(0,-DI119))</f>
        <v>0</v>
      </c>
      <c r="BD119" s="190">
        <f>MAX(ROUND(IF(F119=4,0,IF(I119=0,0,ROUND(SUM(Y119:AD119)*Worksheet!$E$28,2)*-BaseRate)),2),MIN(0,-DI119-BC119))</f>
        <v>-8724.75</v>
      </c>
      <c r="BE119" s="130">
        <f t="shared" si="87"/>
        <v>0</v>
      </c>
      <c r="BF119" s="130">
        <f t="shared" si="88"/>
        <v>1403</v>
      </c>
      <c r="BG119" s="73"/>
      <c r="BH119" s="191">
        <f t="shared" si="89"/>
        <v>39147.97</v>
      </c>
      <c r="BI119" s="191">
        <f t="shared" si="90"/>
        <v>9646</v>
      </c>
      <c r="BJ119" s="232">
        <f>IFERROR(ROUND(IF(AND(BB119*1.12&lt;N119*60/1000,N119/CL119&lt;STVPP*0.2),(CL119*STVPP*0.2*Worksheet!$F$88/1000-BB119*1.12)*PropTaxAdj,IF(BB119*1.12&lt;N119*60/1000,(N119*60/1000-BB119*1.12)*PropTaxAdj,0)),2),0)</f>
        <v>0</v>
      </c>
      <c r="BK119" s="192">
        <f>ROUND(IF($F119=4,0,Y119*Worksheet!$E$16),2)</f>
        <v>4</v>
      </c>
      <c r="BL119" s="192">
        <f>ROUND(IF($F119=4,0,Z119*Worksheet!$E$17),2)</f>
        <v>31</v>
      </c>
      <c r="BM119" s="192">
        <f>ROUND(IF($F119=4,0,AA119*Worksheet!$E$18),2)</f>
        <v>184</v>
      </c>
      <c r="BN119" s="192">
        <f>ROUND(IF($F119=4,0,AB119*Worksheet!$E$19),2)</f>
        <v>46</v>
      </c>
      <c r="BO119" s="192">
        <f>ROUND(IF($F119=4,0,AC119*Worksheet!$E$20),2)</f>
        <v>110</v>
      </c>
      <c r="BP119" s="192">
        <f>ROUND(AD119*Worksheet!$E$21,2)</f>
        <v>0</v>
      </c>
      <c r="BQ119" s="192">
        <f t="shared" si="76"/>
        <v>375</v>
      </c>
      <c r="BR119" s="192">
        <f>ROUND(AD119*Worksheet!$E$25,2)</f>
        <v>0</v>
      </c>
      <c r="BS119" s="192">
        <f>ROUND(SUM(BQ119)*Worksheet!$E$26,2)</f>
        <v>33</v>
      </c>
      <c r="BT119" s="192">
        <f>ROUND(Y119*Worksheet!$E$27,2)</f>
        <v>0.68</v>
      </c>
      <c r="BU119" s="192">
        <f>ROUND(AO119*Worksheet!$E$29,2)</f>
        <v>0.11</v>
      </c>
      <c r="BV119" s="192">
        <f>ROUND(AP119*Worksheet!$E$30,2)</f>
        <v>0</v>
      </c>
      <c r="BW119" s="192">
        <f>ROUND(IF($I119&lt;&gt;0,$BQ119*Worksheet!$E$28,0),2)</f>
        <v>0.75</v>
      </c>
      <c r="BX119" s="192">
        <f>ROUND(AE119*Worksheet!$E$31,2)</f>
        <v>0</v>
      </c>
      <c r="BY119" s="192">
        <f>ROUND(AF119*Worksheet!$E$32,2)</f>
        <v>0</v>
      </c>
      <c r="BZ119" s="192">
        <f>ROUND(AG119*Worksheet!$E$33,2)</f>
        <v>0</v>
      </c>
      <c r="CA119" s="192">
        <f>ROUND(ROUND(AH119*BQ119,2)*Worksheet!$E$34,2)</f>
        <v>2.68</v>
      </c>
      <c r="CB119" s="192">
        <f>ROUND(AI119*Worksheet!$E$35,2)</f>
        <v>0</v>
      </c>
      <c r="CC119" s="192">
        <f>ROUND(AJ119*Worksheet!$E$36,2)</f>
        <v>0</v>
      </c>
      <c r="CD119" s="192">
        <f>ROUND(AQ119*Worksheet!$E$38,2)</f>
        <v>5.39</v>
      </c>
      <c r="CE119" s="192">
        <f>ROUND(AR119*Worksheet!$E$39,2)</f>
        <v>0.08</v>
      </c>
      <c r="CF119" s="192">
        <f>IF(AND(L119&gt;275,SUM(Y119:AD119)&lt;100),ROUND(SUM(Y119:AD119)*Worksheet!$E$41,2),0)</f>
        <v>0</v>
      </c>
      <c r="CG119" s="192">
        <f>IF(AND(L119&gt;600,SUM(Y119:AD119)&lt;50),ROUND((50-SUM(Y119:AD119))*(Worksheet!$E$41+1),2),0)</f>
        <v>0</v>
      </c>
      <c r="CH119" s="192">
        <f t="shared" si="77"/>
        <v>417.69</v>
      </c>
      <c r="CI119" s="116">
        <f t="shared" si="95"/>
        <v>0</v>
      </c>
      <c r="CJ119" s="116">
        <f t="shared" si="96"/>
        <v>417.69</v>
      </c>
      <c r="CK119" s="95">
        <f t="shared" si="91"/>
        <v>1.05</v>
      </c>
      <c r="CL119" s="116">
        <f t="shared" si="97"/>
        <v>438.57</v>
      </c>
      <c r="CM119" s="116">
        <f t="shared" si="98"/>
        <v>438.57</v>
      </c>
      <c r="CN119" s="116">
        <f t="shared" si="92"/>
        <v>5101884.8099999996</v>
      </c>
      <c r="CO119" s="131">
        <f>ROUND(IF(F119=4,0,(MAX(ROUND(MAX((BI119*MIN(CL119,K119)*Worksheet!$D$126)+MAX(CL119-K119,0)*Worksheet!$F$50,SUM(J119)),2),SUM(CN119))-SUM(CN119))*MinAdj),2)</f>
        <v>0</v>
      </c>
      <c r="CP119" s="192">
        <f t="shared" si="93"/>
        <v>5101884.8099999996</v>
      </c>
      <c r="CQ119" s="131">
        <f>IF(CL119=0,0,-MIN(CP119,MIN(CP119,ROUND(IF(ROUND(IF(CL119=0,0,N119/CL119),2)&lt;STVPP*0.2,STVPP*0.2*CL119*Worksheet!$F$88/1000,N119*Worksheet!$F$88/1000),2))))</f>
        <v>-1030147.5</v>
      </c>
      <c r="CR119" s="193">
        <f>-MIN(SUM(CP119,CQ119),IF($P119=0,(ROUND(Worksheet!$E$77*S119,2)+ROUND(Worksheet!$E$78*T119,2)+ROUND(Worksheet!$E$79*U119,2)+ROUND(Worksheet!$E$80*V119,2)+ROUND(Worksheet!$E$81*W119,2)+ROUND(Worksheet!$E$82*X119,2)),(ROUND(ROUND(S119*ROUND((1-$O119/$P119),4),2)*Worksheet!$E$77,2)+ROUND(ROUND(T119*ROUND((1-$O119/$P119),4),2)*Worksheet!$E$78,2)+ROUND(ROUND(U119*ROUND((1-$O119/$P119),4),2)*Worksheet!$E$79,2)+ROUND(ROUND(V119*ROUND((1-$O119/$P119),4),2)*Worksheet!$E$80,2)+ROUND(ROUND(W119*ROUND((1-$O119/$P119),4),2)*Worksheet!$E$81,2)+ROUND(ROUND(X119*ROUND((1-$O119/$P119),4),2)*Worksheet!$E$82,2))))</f>
        <v>-521574.83</v>
      </c>
      <c r="CS119" s="192">
        <f t="shared" si="78"/>
        <v>3550162.4799999995</v>
      </c>
      <c r="CT119" s="116">
        <f>ROUND(MIN(BA119,ROUND((ROUND(AS119*Worksheet!$E$104,2)+ROUND(AV119*Worksheet!$E$107,2)+ROUND(AT119*Worksheet!$E$105,2)+ROUND(AW119*Worksheet!$E$108,2)+ROUND(AU119*Worksheet!$E$106,2)+ROUND(AX119*Worksheet!$E$109,2)+ROUND(AY119*Worksheet!$E$110,2)+ROUND(AZ119*Worksheet!$E$111,2))*Worksheet!$D$114,2))*BaseRate,2)</f>
        <v>310252.11</v>
      </c>
      <c r="CU119" s="121">
        <v>0</v>
      </c>
      <c r="CV119" s="121">
        <v>0</v>
      </c>
      <c r="CW119" s="121">
        <v>0</v>
      </c>
      <c r="CX119" s="121">
        <v>0</v>
      </c>
      <c r="CY119" s="121">
        <v>0</v>
      </c>
      <c r="DA119" s="192">
        <f t="shared" si="79"/>
        <v>0</v>
      </c>
      <c r="DB119" s="192">
        <f>MAX(-CT119,MIN(0,ROUND($R119*EFBPercent+EFBAdd,2)-$Q119),MIN(0,SUM($CS119:CS119)+MIN(0,ROUND($R119*EFBPercent+EFBAdd,2)-$Q119)))</f>
        <v>0</v>
      </c>
      <c r="DC119" s="192">
        <f>IF(CU119&lt;0,0,MAX(-CU119,MIN(0,ROUND($R119*EFBPercent+EFBAdd,2)-$Q119),MIN(0,SUM($CS119:CT119)+MIN(0,ROUND($R119*EFBPercent+EFBAdd,2)-$Q119))))</f>
        <v>0</v>
      </c>
      <c r="DD119" s="192">
        <f>IF(CV119&lt;0,0,MAX(-CV119,MIN(0,ROUND($R119*EFBPercent+EFBAdd,2)-$Q119),MIN(0,SUM($CS119:CU119)+MIN(0,ROUND($R119*EFBPercent+EFBAdd,2)-$Q119))))</f>
        <v>0</v>
      </c>
      <c r="DE119" s="192">
        <f>IF(CW119&lt;0,0,MAX(-CW119,MIN(0,ROUND($R119*EFBPercent+EFBAdd,2)-$Q119),MIN(0,SUM($CS119:CV119)+MIN(0,ROUND($R119*EFBPercent+EFBAdd,2)-$Q119))))</f>
        <v>0</v>
      </c>
      <c r="DF119" s="192">
        <f>IF(CX119&lt;0,0,MAX(-CX119,MIN(0,ROUND($R119*EFBPercent+EFBAdd,2)-$Q119),MIN(0,SUM($CS119:CW119)+MIN(0,ROUND($R119*EFBPercent+EFBAdd,2)-$Q119))))</f>
        <v>0</v>
      </c>
      <c r="DG119" s="192">
        <f>MAX(-CY119,MIN(0,ROUND($R119*EFBPercent+EFBAdd,2)-$Q119),MIN(0,SUM($CS119:CX119)+MIN(0,ROUND($R119*EFBPercent+EFBAdd,2)-$Q119)))</f>
        <v>0</v>
      </c>
      <c r="DI119" s="73">
        <f t="shared" si="80"/>
        <v>3550162.4799999995</v>
      </c>
      <c r="DJ119" s="73">
        <f t="shared" si="81"/>
        <v>310252.11</v>
      </c>
      <c r="DK119" s="73">
        <f t="shared" si="82"/>
        <v>0</v>
      </c>
      <c r="DL119" s="73">
        <f t="shared" si="83"/>
        <v>0</v>
      </c>
      <c r="DM119" s="73">
        <f t="shared" si="84"/>
        <v>0</v>
      </c>
      <c r="DN119" s="73">
        <f t="shared" si="85"/>
        <v>0</v>
      </c>
      <c r="DO119" s="73">
        <f t="shared" si="86"/>
        <v>0</v>
      </c>
      <c r="DP119" s="73"/>
      <c r="DQ119" s="73"/>
    </row>
    <row r="120" spans="1:121" ht="10.199999999999999" x14ac:dyDescent="0.2">
      <c r="A120" s="4" t="s">
        <v>672</v>
      </c>
      <c r="B120" s="188">
        <v>2516</v>
      </c>
      <c r="C120" s="189" t="s">
        <v>191</v>
      </c>
      <c r="D120" s="4">
        <v>2027</v>
      </c>
      <c r="E120" s="4" t="s">
        <v>1040</v>
      </c>
      <c r="F120" s="4">
        <v>7</v>
      </c>
      <c r="G120" s="4" t="s">
        <v>672</v>
      </c>
      <c r="H120" s="4">
        <v>0</v>
      </c>
      <c r="I120" s="4">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f t="shared" si="94"/>
        <v>0</v>
      </c>
      <c r="AP120" s="5">
        <v>0</v>
      </c>
      <c r="AQ120" s="5">
        <v>0</v>
      </c>
      <c r="AR120" s="5">
        <v>0</v>
      </c>
      <c r="AS120" s="5">
        <v>0</v>
      </c>
      <c r="AT120" s="5">
        <v>0</v>
      </c>
      <c r="AU120" s="5">
        <v>0</v>
      </c>
      <c r="AV120" s="5">
        <v>0</v>
      </c>
      <c r="AW120" s="199">
        <v>0</v>
      </c>
      <c r="AX120" s="199">
        <v>0</v>
      </c>
      <c r="AY120" s="199">
        <v>0</v>
      </c>
      <c r="AZ120" s="199">
        <v>0</v>
      </c>
      <c r="BA120" s="5">
        <v>0</v>
      </c>
      <c r="BB120" s="13">
        <v>0</v>
      </c>
      <c r="BC120" s="190">
        <f>MAX(ROUND(IF(F120&lt;4,IF(H120=0,(SUM(Y120:AD120)*Worksheet!$E$26+Y120*Worksheet!$E$27+AR120*Worksheet!$E$39)*-BaseRate,0)),2),MIN(0,-DI120))</f>
        <v>0</v>
      </c>
      <c r="BD120" s="190">
        <f>MAX(ROUND(IF(F120=4,0,IF(I120=0,0,ROUND(SUM(Y120:AD120)*Worksheet!$E$28,2)*-BaseRate)),2),MIN(0,-DI120-BC120))</f>
        <v>0</v>
      </c>
      <c r="BE120" s="130">
        <f t="shared" si="87"/>
        <v>0</v>
      </c>
      <c r="BF120" s="130">
        <f t="shared" si="88"/>
        <v>0</v>
      </c>
      <c r="BG120" s="73"/>
      <c r="BH120" s="191">
        <f t="shared" si="89"/>
        <v>0</v>
      </c>
      <c r="BI120" s="191">
        <f t="shared" si="90"/>
        <v>0</v>
      </c>
      <c r="BJ120" s="232">
        <f>IFERROR(ROUND(IF(AND(BB120*1.12&lt;N120*60/1000,N120/CL120&lt;STVPP*0.2),(CL120*STVPP*0.2*Worksheet!$F$88/1000-BB120*1.12)*PropTaxAdj,IF(BB120*1.12&lt;N120*60/1000,(N120*60/1000-BB120*1.12)*PropTaxAdj,0)),2),0)</f>
        <v>0</v>
      </c>
      <c r="BK120" s="192">
        <f>ROUND(IF($F120=4,0,Y120*Worksheet!$E$16),2)</f>
        <v>0</v>
      </c>
      <c r="BL120" s="192">
        <f>ROUND(IF($F120=4,0,Z120*Worksheet!$E$17),2)</f>
        <v>0</v>
      </c>
      <c r="BM120" s="192">
        <f>ROUND(IF($F120=4,0,AA120*Worksheet!$E$18),2)</f>
        <v>0</v>
      </c>
      <c r="BN120" s="192">
        <f>ROUND(IF($F120=4,0,AB120*Worksheet!$E$19),2)</f>
        <v>0</v>
      </c>
      <c r="BO120" s="192">
        <f>ROUND(IF($F120=4,0,AC120*Worksheet!$E$20),2)</f>
        <v>0</v>
      </c>
      <c r="BP120" s="192">
        <f>ROUND(AD120*Worksheet!$E$21,2)</f>
        <v>0</v>
      </c>
      <c r="BQ120" s="192">
        <f t="shared" si="76"/>
        <v>0</v>
      </c>
      <c r="BR120" s="192">
        <f>ROUND(AD120*Worksheet!$E$25,2)</f>
        <v>0</v>
      </c>
      <c r="BS120" s="192">
        <f>ROUND(SUM(BQ120)*Worksheet!$E$26,2)</f>
        <v>0</v>
      </c>
      <c r="BT120" s="192">
        <f>ROUND(Y120*Worksheet!$E$27,2)</f>
        <v>0</v>
      </c>
      <c r="BU120" s="192">
        <f>ROUND(AO120*Worksheet!$E$29,2)</f>
        <v>0</v>
      </c>
      <c r="BV120" s="192">
        <f>ROUND(AP120*Worksheet!$E$30,2)</f>
        <v>0</v>
      </c>
      <c r="BW120" s="192">
        <f>ROUND(IF($I120&lt;&gt;0,$BQ120*Worksheet!$E$28,0),2)</f>
        <v>0</v>
      </c>
      <c r="BX120" s="192">
        <f>ROUND(AE120*Worksheet!$E$31,2)</f>
        <v>0</v>
      </c>
      <c r="BY120" s="192">
        <f>ROUND(AF120*Worksheet!$E$32,2)</f>
        <v>0</v>
      </c>
      <c r="BZ120" s="192">
        <f>ROUND(AG120*Worksheet!$E$33,2)</f>
        <v>0</v>
      </c>
      <c r="CA120" s="192">
        <f>ROUND(ROUND(AH120*BQ120,2)*Worksheet!$E$34,2)</f>
        <v>0</v>
      </c>
      <c r="CB120" s="192">
        <f>ROUND(AI120*Worksheet!$E$35,2)</f>
        <v>0</v>
      </c>
      <c r="CC120" s="192">
        <f>ROUND(AJ120*Worksheet!$E$36,2)</f>
        <v>0</v>
      </c>
      <c r="CD120" s="192">
        <f>ROUND(AQ120*Worksheet!$E$38,2)</f>
        <v>0</v>
      </c>
      <c r="CE120" s="192">
        <f>ROUND(AR120*Worksheet!$E$39,2)</f>
        <v>0</v>
      </c>
      <c r="CF120" s="192">
        <f>IF(AND(L120&gt;275,SUM(Y120:AD120)&lt;100),ROUND(SUM(Y120:AD120)*Worksheet!$E$41,2),0)</f>
        <v>0</v>
      </c>
      <c r="CG120" s="192">
        <f>IF(AND(L120&gt;600,SUM(Y120:AD120)&lt;50),ROUND((50-SUM(Y120:AD120))*(Worksheet!$E$41+1),2),0)</f>
        <v>0</v>
      </c>
      <c r="CH120" s="192">
        <f t="shared" si="77"/>
        <v>0</v>
      </c>
      <c r="CI120" s="116">
        <f t="shared" si="95"/>
        <v>0</v>
      </c>
      <c r="CJ120" s="116">
        <f t="shared" si="96"/>
        <v>0</v>
      </c>
      <c r="CK120" s="95">
        <f t="shared" si="91"/>
        <v>0</v>
      </c>
      <c r="CL120" s="116">
        <f t="shared" si="97"/>
        <v>0</v>
      </c>
      <c r="CM120" s="116">
        <f t="shared" si="98"/>
        <v>0</v>
      </c>
      <c r="CN120" s="116">
        <f t="shared" si="92"/>
        <v>0</v>
      </c>
      <c r="CO120" s="131">
        <f>ROUND(IF(F120=4,0,(MAX(ROUND(MAX((BI120*MIN(CL120,K120)*Worksheet!$D$126)+MAX(CL120-K120,0)*Worksheet!$F$50,SUM(J120)),2),SUM(CN120))-SUM(CN120))*MinAdj),2)</f>
        <v>0</v>
      </c>
      <c r="CP120" s="192">
        <f t="shared" si="93"/>
        <v>0</v>
      </c>
      <c r="CQ120" s="131">
        <f>IF(CL120=0,0,-MIN(CP120,MIN(CP120,ROUND(IF(ROUND(IF(CL120=0,0,N120/CL120),2)&lt;STVPP*0.2,STVPP*0.2*CL120*Worksheet!$F$88/1000,N120*Worksheet!$F$88/1000),2))))</f>
        <v>0</v>
      </c>
      <c r="CR120" s="193">
        <f>-MIN(SUM(CP120,CQ120),IF($P120=0,(ROUND(Worksheet!$E$77*S120,2)+ROUND(Worksheet!$E$78*T120,2)+ROUND(Worksheet!$E$79*U120,2)+ROUND(Worksheet!$E$80*V120,2)+ROUND(Worksheet!$E$81*W120,2)+ROUND(Worksheet!$E$82*X120,2)),(ROUND(ROUND(S120*ROUND((1-$O120/$P120),4),2)*Worksheet!$E$77,2)+ROUND(ROUND(T120*ROUND((1-$O120/$P120),4),2)*Worksheet!$E$78,2)+ROUND(ROUND(U120*ROUND((1-$O120/$P120),4),2)*Worksheet!$E$79,2)+ROUND(ROUND(V120*ROUND((1-$O120/$P120),4),2)*Worksheet!$E$80,2)+ROUND(ROUND(W120*ROUND((1-$O120/$P120),4),2)*Worksheet!$E$81,2)+ROUND(ROUND(X120*ROUND((1-$O120/$P120),4),2)*Worksheet!$E$82,2))))</f>
        <v>0</v>
      </c>
      <c r="CS120" s="192">
        <f t="shared" si="78"/>
        <v>0</v>
      </c>
      <c r="CT120" s="116">
        <f>ROUND(MIN(BA120,ROUND((ROUND(AS120*Worksheet!$E$104,2)+ROUND(AV120*Worksheet!$E$107,2)+ROUND(AT120*Worksheet!$E$105,2)+ROUND(AW120*Worksheet!$E$108,2)+ROUND(AU120*Worksheet!$E$106,2)+ROUND(AX120*Worksheet!$E$109,2)+ROUND(AY120*Worksheet!$E$110,2)+ROUND(AZ120*Worksheet!$E$111,2))*Worksheet!$D$114,2))*BaseRate,2)</f>
        <v>0</v>
      </c>
      <c r="CU120" s="121">
        <v>0</v>
      </c>
      <c r="CV120" s="121">
        <v>0</v>
      </c>
      <c r="CW120" s="121">
        <v>0</v>
      </c>
      <c r="CX120" s="121">
        <v>0</v>
      </c>
      <c r="CY120" s="121">
        <v>0</v>
      </c>
      <c r="DA120" s="192">
        <f t="shared" si="79"/>
        <v>0</v>
      </c>
      <c r="DB120" s="192">
        <f>MAX(-CT120,MIN(0,ROUND($R120*EFBPercent+EFBAdd,2)-$Q120),MIN(0,SUM($CS120:CS120)+MIN(0,ROUND($R120*EFBPercent+EFBAdd,2)-$Q120)))</f>
        <v>0</v>
      </c>
      <c r="DC120" s="192">
        <f>IF(CU120&lt;0,0,MAX(-CU120,MIN(0,ROUND($R120*EFBPercent+EFBAdd,2)-$Q120),MIN(0,SUM($CS120:CT120)+MIN(0,ROUND($R120*EFBPercent+EFBAdd,2)-$Q120))))</f>
        <v>0</v>
      </c>
      <c r="DD120" s="192">
        <f>IF(CV120&lt;0,0,MAX(-CV120,MIN(0,ROUND($R120*EFBPercent+EFBAdd,2)-$Q120),MIN(0,SUM($CS120:CU120)+MIN(0,ROUND($R120*EFBPercent+EFBAdd,2)-$Q120))))</f>
        <v>0</v>
      </c>
      <c r="DE120" s="192">
        <f>IF(CW120&lt;0,0,MAX(-CW120,MIN(0,ROUND($R120*EFBPercent+EFBAdd,2)-$Q120),MIN(0,SUM($CS120:CV120)+MIN(0,ROUND($R120*EFBPercent+EFBAdd,2)-$Q120))))</f>
        <v>0</v>
      </c>
      <c r="DF120" s="192">
        <f>IF(CX120&lt;0,0,MAX(-CX120,MIN(0,ROUND($R120*EFBPercent+EFBAdd,2)-$Q120),MIN(0,SUM($CS120:CW120)+MIN(0,ROUND($R120*EFBPercent+EFBAdd,2)-$Q120))))</f>
        <v>0</v>
      </c>
      <c r="DG120" s="192">
        <f>MAX(-CY120,MIN(0,ROUND($R120*EFBPercent+EFBAdd,2)-$Q120),MIN(0,SUM($CS120:CX120)+MIN(0,ROUND($R120*EFBPercent+EFBAdd,2)-$Q120)))</f>
        <v>0</v>
      </c>
      <c r="DI120" s="73">
        <f t="shared" si="80"/>
        <v>0</v>
      </c>
      <c r="DJ120" s="73">
        <f t="shared" si="81"/>
        <v>0</v>
      </c>
      <c r="DK120" s="73">
        <f t="shared" si="82"/>
        <v>0</v>
      </c>
      <c r="DL120" s="73">
        <f t="shared" si="83"/>
        <v>0</v>
      </c>
      <c r="DM120" s="73">
        <f t="shared" si="84"/>
        <v>0</v>
      </c>
      <c r="DN120" s="73">
        <f t="shared" si="85"/>
        <v>0</v>
      </c>
      <c r="DO120" s="73">
        <f t="shared" si="86"/>
        <v>0</v>
      </c>
      <c r="DP120" s="73"/>
      <c r="DQ120" s="73"/>
    </row>
    <row r="121" spans="1:121" ht="10.199999999999999" x14ac:dyDescent="0.2">
      <c r="A121" s="4" t="s">
        <v>591</v>
      </c>
      <c r="B121" s="188">
        <v>1121</v>
      </c>
      <c r="C121" s="189" t="s">
        <v>117</v>
      </c>
      <c r="D121" s="4">
        <v>2027</v>
      </c>
      <c r="E121" s="4" t="s">
        <v>430</v>
      </c>
      <c r="F121" s="4">
        <v>1</v>
      </c>
      <c r="G121" s="4" t="s">
        <v>684</v>
      </c>
      <c r="H121" s="4">
        <v>100</v>
      </c>
      <c r="I121" s="4" t="s">
        <v>1152</v>
      </c>
      <c r="J121" s="5">
        <v>18440040.810000002</v>
      </c>
      <c r="K121" s="5">
        <v>1112.22</v>
      </c>
      <c r="L121" s="5">
        <v>317</v>
      </c>
      <c r="M121" s="5">
        <v>0</v>
      </c>
      <c r="N121" s="5">
        <v>73347890</v>
      </c>
      <c r="O121" s="5">
        <v>0</v>
      </c>
      <c r="P121" s="5">
        <v>56.6</v>
      </c>
      <c r="Q121" s="5">
        <v>0</v>
      </c>
      <c r="R121" s="5">
        <v>0</v>
      </c>
      <c r="S121" s="5">
        <v>0</v>
      </c>
      <c r="T121" s="5">
        <v>1273142.0899999999</v>
      </c>
      <c r="U121" s="5">
        <v>31182608.600000001</v>
      </c>
      <c r="V121" s="5">
        <v>519058.51</v>
      </c>
      <c r="W121" s="5">
        <v>27096.729999999996</v>
      </c>
      <c r="X121" s="5">
        <v>10684.29</v>
      </c>
      <c r="Y121" s="5">
        <v>1.4</v>
      </c>
      <c r="Z121" s="5">
        <v>80</v>
      </c>
      <c r="AA121" s="5">
        <v>482</v>
      </c>
      <c r="AB121" s="5">
        <v>142</v>
      </c>
      <c r="AC121" s="5">
        <v>217.72</v>
      </c>
      <c r="AD121" s="5">
        <v>26.28</v>
      </c>
      <c r="AE121" s="5">
        <v>2</v>
      </c>
      <c r="AF121" s="5">
        <v>10.93</v>
      </c>
      <c r="AG121" s="5">
        <v>18.529999999999998</v>
      </c>
      <c r="AH121" s="5">
        <v>0.98399999999999999</v>
      </c>
      <c r="AI121" s="5">
        <v>0</v>
      </c>
      <c r="AJ121" s="5">
        <v>0</v>
      </c>
      <c r="AK121" s="5">
        <v>0</v>
      </c>
      <c r="AL121" s="5">
        <v>954.33</v>
      </c>
      <c r="AM121" s="5">
        <v>45.170000000000073</v>
      </c>
      <c r="AN121" s="5">
        <v>948</v>
      </c>
      <c r="AO121" s="5">
        <f t="shared" si="94"/>
        <v>6.3300000000000409</v>
      </c>
      <c r="AP121" s="5">
        <f t="shared" ref="AP121:AP123" si="103">IF(AM121&gt;0,SUM(Z121:AD121)-AN121,0)</f>
        <v>0</v>
      </c>
      <c r="AQ121" s="5">
        <v>47.63</v>
      </c>
      <c r="AR121" s="5">
        <v>0</v>
      </c>
      <c r="AS121" s="5">
        <v>0</v>
      </c>
      <c r="AT121" s="5">
        <v>356650</v>
      </c>
      <c r="AU121" s="5">
        <v>0</v>
      </c>
      <c r="AV121" s="5">
        <v>3850</v>
      </c>
      <c r="AW121" s="199">
        <v>317</v>
      </c>
      <c r="AX121" s="199">
        <v>2</v>
      </c>
      <c r="AY121" s="199">
        <v>0</v>
      </c>
      <c r="AZ121" s="199">
        <v>0</v>
      </c>
      <c r="BA121" s="5">
        <v>743396.14</v>
      </c>
      <c r="BB121" s="13">
        <v>4106571.84</v>
      </c>
      <c r="BC121" s="190">
        <f>MAX(ROUND(IF(F121&lt;4,IF(H121=0,(SUM(Y121:AD121)*Worksheet!$E$26+Y121*Worksheet!$E$27+AR121*Worksheet!$E$39)*-BaseRate,0)),2),MIN(0,-DI121))</f>
        <v>0</v>
      </c>
      <c r="BD121" s="190">
        <f>MAX(ROUND(IF(F121=4,0,IF(I121=0,0,ROUND(SUM(Y121:AD121)*Worksheet!$E$28,2)*-BaseRate)),2),MIN(0,-DI121-BC121))</f>
        <v>0</v>
      </c>
      <c r="BE121" s="130">
        <f t="shared" si="87"/>
        <v>0</v>
      </c>
      <c r="BF121" s="130">
        <f t="shared" si="88"/>
        <v>0</v>
      </c>
      <c r="BG121" s="73"/>
      <c r="BH121" s="191">
        <f t="shared" si="89"/>
        <v>66372.78</v>
      </c>
      <c r="BI121" s="191">
        <f t="shared" si="90"/>
        <v>16579.490000000002</v>
      </c>
      <c r="BJ121" s="232">
        <f>IFERROR(ROUND(IF(AND(BB121*1.12&lt;N121*60/1000,N121/CL121&lt;STVPP*0.2),(CL121*STVPP*0.2*Worksheet!$F$88/1000-BB121*1.12)*PropTaxAdj,IF(BB121*1.12&lt;N121*60/1000,(N121*60/1000-BB121*1.12)*PropTaxAdj,0)),2),0)</f>
        <v>0</v>
      </c>
      <c r="BK121" s="192">
        <f>ROUND(IF($F121=4,0,Y121*Worksheet!$E$16),2)</f>
        <v>1.4</v>
      </c>
      <c r="BL121" s="192">
        <f>ROUND(IF($F121=4,0,Z121*Worksheet!$E$17),2)</f>
        <v>80</v>
      </c>
      <c r="BM121" s="192">
        <f>ROUND(IF($F121=4,0,AA121*Worksheet!$E$18),2)</f>
        <v>482</v>
      </c>
      <c r="BN121" s="192">
        <f>ROUND(IF($F121=4,0,AB121*Worksheet!$E$19),2)</f>
        <v>142</v>
      </c>
      <c r="BO121" s="192">
        <f>ROUND(IF($F121=4,0,AC121*Worksheet!$E$20),2)</f>
        <v>217.72</v>
      </c>
      <c r="BP121" s="192">
        <f>ROUND(AD121*Worksheet!$E$21,2)</f>
        <v>26.28</v>
      </c>
      <c r="BQ121" s="192">
        <f t="shared" si="76"/>
        <v>949.4</v>
      </c>
      <c r="BR121" s="192">
        <f>ROUND(AD121*Worksheet!$E$25,2)</f>
        <v>6.57</v>
      </c>
      <c r="BS121" s="192">
        <f>ROUND(SUM(BQ121)*Worksheet!$E$26,2)</f>
        <v>83.55</v>
      </c>
      <c r="BT121" s="192">
        <f>ROUND(Y121*Worksheet!$E$27,2)</f>
        <v>0.24</v>
      </c>
      <c r="BU121" s="192">
        <f>ROUND(AO121*Worksheet!$E$29,2)</f>
        <v>6.33</v>
      </c>
      <c r="BV121" s="192">
        <f>ROUND(AP121*Worksheet!$E$30,2)</f>
        <v>0</v>
      </c>
      <c r="BW121" s="192">
        <f>ROUND(IF($I121&lt;&gt;0,$BQ121*Worksheet!$E$28,0),2)</f>
        <v>1.9</v>
      </c>
      <c r="BX121" s="192">
        <f>ROUND(AE121*Worksheet!$E$31,2)</f>
        <v>0.8</v>
      </c>
      <c r="BY121" s="192">
        <f>ROUND(AF121*Worksheet!$E$32,2)</f>
        <v>3.06</v>
      </c>
      <c r="BZ121" s="192">
        <f>ROUND(AG121*Worksheet!$E$33,2)</f>
        <v>1.3</v>
      </c>
      <c r="CA121" s="192">
        <f>ROUND(ROUND(AH121*BQ121,2)*Worksheet!$E$34,2)</f>
        <v>23.36</v>
      </c>
      <c r="CB121" s="192">
        <f>ROUND(AI121*Worksheet!$E$35,2)</f>
        <v>0</v>
      </c>
      <c r="CC121" s="192">
        <f>ROUND(AJ121*Worksheet!$E$36,2)</f>
        <v>0</v>
      </c>
      <c r="CD121" s="192">
        <f>ROUND(AQ121*Worksheet!$E$38,2)</f>
        <v>28.58</v>
      </c>
      <c r="CE121" s="192">
        <f>ROUND(AR121*Worksheet!$E$39,2)</f>
        <v>0</v>
      </c>
      <c r="CF121" s="192">
        <f>IF(AND(L121&gt;275,SUM(Y121:AD121)&lt;100),ROUND(SUM(Y121:AD121)*Worksheet!$E$41,2),0)</f>
        <v>0</v>
      </c>
      <c r="CG121" s="192">
        <f>IF(AND(L121&gt;600,SUM(Y121:AD121)&lt;50),ROUND((50-SUM(Y121:AD121))*(Worksheet!$E$41+1),2),0)</f>
        <v>0</v>
      </c>
      <c r="CH121" s="192">
        <f t="shared" si="77"/>
        <v>1105.0899999999997</v>
      </c>
      <c r="CI121" s="116">
        <f t="shared" si="95"/>
        <v>0</v>
      </c>
      <c r="CJ121" s="116">
        <f t="shared" si="96"/>
        <v>1105.0899999999997</v>
      </c>
      <c r="CK121" s="95">
        <f t="shared" si="91"/>
        <v>1</v>
      </c>
      <c r="CL121" s="116">
        <f t="shared" si="97"/>
        <v>1105.0899999999999</v>
      </c>
      <c r="CM121" s="116">
        <f t="shared" si="98"/>
        <v>1105.0899999999999</v>
      </c>
      <c r="CN121" s="116">
        <f t="shared" si="92"/>
        <v>12855511.970000001</v>
      </c>
      <c r="CO121" s="131">
        <f>ROUND(IF(F121=4,0,(MAX(ROUND(MAX((BI121*MIN(CL121,K121)*Worksheet!$D$126)+MAX(CL121-K121,0)*Worksheet!$F$50,SUM(J121)),2),SUM(CN121))-SUM(CN121))*MinAdj),2)</f>
        <v>874912.98</v>
      </c>
      <c r="CP121" s="192">
        <f t="shared" si="93"/>
        <v>13730424.950000001</v>
      </c>
      <c r="CQ121" s="131">
        <f>IF(CL121=0,0,-MIN(CP121,MIN(CP121,ROUND(IF(ROUND(IF(CL121=0,0,N121/CL121),2)&lt;STVPP*0.2,STVPP*0.2*CL121*Worksheet!$F$88/1000,N121*Worksheet!$F$88/1000),2))))</f>
        <v>-4400873.4000000004</v>
      </c>
      <c r="CR121" s="193">
        <f>-MIN(SUM(CP121,CQ121),IF($P121=0,(ROUND(Worksheet!$E$77*S121,2)+ROUND(Worksheet!$E$78*T121,2)+ROUND(Worksheet!$E$79*U121,2)+ROUND(Worksheet!$E$80*V121,2)+ROUND(Worksheet!$E$81*W121,2)+ROUND(Worksheet!$E$82*X121,2)),(ROUND(ROUND(S121*ROUND((1-$O121/$P121),4),2)*Worksheet!$E$77,2)+ROUND(ROUND(T121*ROUND((1-$O121/$P121),4),2)*Worksheet!$E$78,2)+ROUND(ROUND(U121*ROUND((1-$O121/$P121),4),2)*Worksheet!$E$79,2)+ROUND(ROUND(V121*ROUND((1-$O121/$P121),4),2)*Worksheet!$E$80,2)+ROUND(ROUND(W121*ROUND((1-$O121/$P121),4),2)*Worksheet!$E$81,2)+ROUND(ROUND(X121*ROUND((1-$O121/$P121),4),2)*Worksheet!$E$82,2))))</f>
        <v>-9329551.5500000007</v>
      </c>
      <c r="CS121" s="192">
        <f t="shared" si="78"/>
        <v>0</v>
      </c>
      <c r="CT121" s="116">
        <f>ROUND(MIN(BA121,ROUND((ROUND(AS121*Worksheet!$E$104,2)+ROUND(AV121*Worksheet!$E$107,2)+ROUND(AT121*Worksheet!$E$105,2)+ROUND(AW121*Worksheet!$E$108,2)+ROUND(AU121*Worksheet!$E$106,2)+ROUND(AX121*Worksheet!$E$109,2)+ROUND(AY121*Worksheet!$E$110,2)+ROUND(AZ121*Worksheet!$E$111,2))*Worksheet!$D$114,2))*BaseRate,2)</f>
        <v>464273.03</v>
      </c>
      <c r="CU121" s="121">
        <v>0</v>
      </c>
      <c r="CV121" s="121">
        <v>0</v>
      </c>
      <c r="CW121" s="121">
        <v>0</v>
      </c>
      <c r="CX121" s="121">
        <v>0</v>
      </c>
      <c r="CY121" s="121">
        <v>0</v>
      </c>
      <c r="DA121" s="192">
        <f t="shared" si="79"/>
        <v>0</v>
      </c>
      <c r="DB121" s="192">
        <f>MAX(-CT121,MIN(0,ROUND($R121*EFBPercent+EFBAdd,2)-$Q121),MIN(0,SUM($CS121:CS121)+MIN(0,ROUND($R121*EFBPercent+EFBAdd,2)-$Q121)))</f>
        <v>0</v>
      </c>
      <c r="DC121" s="192">
        <f>IF(CU121&lt;0,0,MAX(-CU121,MIN(0,ROUND($R121*EFBPercent+EFBAdd,2)-$Q121),MIN(0,SUM($CS121:CT121)+MIN(0,ROUND($R121*EFBPercent+EFBAdd,2)-$Q121))))</f>
        <v>0</v>
      </c>
      <c r="DD121" s="192">
        <f>IF(CV121&lt;0,0,MAX(-CV121,MIN(0,ROUND($R121*EFBPercent+EFBAdd,2)-$Q121),MIN(0,SUM($CS121:CU121)+MIN(0,ROUND($R121*EFBPercent+EFBAdd,2)-$Q121))))</f>
        <v>0</v>
      </c>
      <c r="DE121" s="192">
        <f>IF(CW121&lt;0,0,MAX(-CW121,MIN(0,ROUND($R121*EFBPercent+EFBAdd,2)-$Q121),MIN(0,SUM($CS121:CV121)+MIN(0,ROUND($R121*EFBPercent+EFBAdd,2)-$Q121))))</f>
        <v>0</v>
      </c>
      <c r="DF121" s="192">
        <f>IF(CX121&lt;0,0,MAX(-CX121,MIN(0,ROUND($R121*EFBPercent+EFBAdd,2)-$Q121),MIN(0,SUM($CS121:CW121)+MIN(0,ROUND($R121*EFBPercent+EFBAdd,2)-$Q121))))</f>
        <v>0</v>
      </c>
      <c r="DG121" s="192">
        <f>MAX(-CY121,MIN(0,ROUND($R121*EFBPercent+EFBAdd,2)-$Q121),MIN(0,SUM($CS121:CX121)+MIN(0,ROUND($R121*EFBPercent+EFBAdd,2)-$Q121)))</f>
        <v>0</v>
      </c>
      <c r="DI121" s="73">
        <f t="shared" si="80"/>
        <v>0</v>
      </c>
      <c r="DJ121" s="73">
        <f t="shared" si="81"/>
        <v>464273.03</v>
      </c>
      <c r="DK121" s="73">
        <f t="shared" si="82"/>
        <v>0</v>
      </c>
      <c r="DL121" s="73">
        <f t="shared" si="83"/>
        <v>0</v>
      </c>
      <c r="DM121" s="73">
        <f t="shared" si="84"/>
        <v>0</v>
      </c>
      <c r="DN121" s="73">
        <f t="shared" si="85"/>
        <v>0</v>
      </c>
      <c r="DO121" s="73">
        <f t="shared" si="86"/>
        <v>0</v>
      </c>
      <c r="DP121" s="73"/>
      <c r="DQ121" s="73"/>
    </row>
    <row r="122" spans="1:121" ht="10.199999999999999" x14ac:dyDescent="0.2">
      <c r="A122" s="4" t="s">
        <v>592</v>
      </c>
      <c r="B122" s="188">
        <v>1150</v>
      </c>
      <c r="C122" s="189" t="s">
        <v>118</v>
      </c>
      <c r="D122" s="4">
        <v>2027</v>
      </c>
      <c r="E122" s="4" t="s">
        <v>431</v>
      </c>
      <c r="F122" s="4">
        <v>1</v>
      </c>
      <c r="G122" s="4" t="s">
        <v>673</v>
      </c>
      <c r="H122" s="4">
        <v>100</v>
      </c>
      <c r="I122" s="4" t="s">
        <v>1152</v>
      </c>
      <c r="J122" s="5">
        <v>8207816.1700000009</v>
      </c>
      <c r="K122" s="5">
        <v>745.37</v>
      </c>
      <c r="L122" s="5">
        <v>765.67</v>
      </c>
      <c r="M122" s="5">
        <v>0</v>
      </c>
      <c r="N122" s="5">
        <v>71366788</v>
      </c>
      <c r="O122" s="5">
        <v>0</v>
      </c>
      <c r="P122" s="5">
        <v>90</v>
      </c>
      <c r="Q122" s="5">
        <v>0</v>
      </c>
      <c r="R122" s="5">
        <v>0</v>
      </c>
      <c r="S122" s="5">
        <v>0</v>
      </c>
      <c r="T122" s="5">
        <v>1346061.1</v>
      </c>
      <c r="U122" s="5">
        <v>0</v>
      </c>
      <c r="V122" s="5">
        <v>365174.5</v>
      </c>
      <c r="W122" s="5">
        <v>17510.03</v>
      </c>
      <c r="X122" s="5">
        <v>44121.65</v>
      </c>
      <c r="Y122" s="5">
        <v>1.5</v>
      </c>
      <c r="Z122" s="5">
        <v>58</v>
      </c>
      <c r="AA122" s="5">
        <v>390</v>
      </c>
      <c r="AB122" s="5">
        <v>117</v>
      </c>
      <c r="AC122" s="5">
        <v>220</v>
      </c>
      <c r="AD122" s="5">
        <v>0</v>
      </c>
      <c r="AE122" s="5">
        <v>21.83</v>
      </c>
      <c r="AF122" s="5">
        <v>14</v>
      </c>
      <c r="AG122" s="5">
        <v>16.98</v>
      </c>
      <c r="AH122" s="5">
        <v>0.33300000000000002</v>
      </c>
      <c r="AI122" s="5">
        <v>2.08</v>
      </c>
      <c r="AJ122" s="5">
        <v>0</v>
      </c>
      <c r="AK122" s="5">
        <v>0</v>
      </c>
      <c r="AL122" s="5">
        <v>790.1</v>
      </c>
      <c r="AM122" s="5">
        <v>14.630000000000109</v>
      </c>
      <c r="AN122" s="5">
        <v>785</v>
      </c>
      <c r="AO122" s="5">
        <f t="shared" si="94"/>
        <v>5.1000000000000227</v>
      </c>
      <c r="AP122" s="5">
        <f t="shared" si="103"/>
        <v>0</v>
      </c>
      <c r="AQ122" s="5">
        <v>2.5</v>
      </c>
      <c r="AR122" s="5">
        <v>0.14000000000000001</v>
      </c>
      <c r="AS122" s="5">
        <v>38500</v>
      </c>
      <c r="AT122" s="5">
        <v>150150</v>
      </c>
      <c r="AU122" s="5">
        <v>350</v>
      </c>
      <c r="AV122" s="5">
        <v>3150</v>
      </c>
      <c r="AW122" s="199">
        <v>765.67</v>
      </c>
      <c r="AX122" s="199">
        <v>2</v>
      </c>
      <c r="AY122" s="199">
        <v>0</v>
      </c>
      <c r="AZ122" s="199">
        <v>0</v>
      </c>
      <c r="BA122" s="5">
        <v>711958.44</v>
      </c>
      <c r="BB122" s="13">
        <v>4177271.46</v>
      </c>
      <c r="BC122" s="190">
        <f>MAX(ROUND(IF(F122&lt;4,IF(H122=0,(SUM(Y122:AD122)*Worksheet!$E$26+Y122*Worksheet!$E$27+AR122*Worksheet!$E$39)*-BaseRate,0)),2),MIN(0,-DI122))</f>
        <v>0</v>
      </c>
      <c r="BD122" s="190">
        <f>MAX(ROUND(IF(F122=4,0,IF(I122=0,0,ROUND(SUM(Y122:AD122)*Worksheet!$E$28,2)*-BaseRate)),2),MIN(0,-DI122-BC122))</f>
        <v>-18263.810000000001</v>
      </c>
      <c r="BE122" s="130">
        <f t="shared" si="87"/>
        <v>0</v>
      </c>
      <c r="BF122" s="130">
        <f t="shared" si="88"/>
        <v>1412</v>
      </c>
      <c r="BG122" s="73"/>
      <c r="BH122" s="191">
        <f t="shared" si="89"/>
        <v>79833.98</v>
      </c>
      <c r="BI122" s="191">
        <f t="shared" si="90"/>
        <v>11011.73</v>
      </c>
      <c r="BJ122" s="232">
        <f>IFERROR(ROUND(IF(AND(BB122*1.12&lt;N122*60/1000,N122/CL122&lt;STVPP*0.2),(CL122*STVPP*0.2*Worksheet!$F$88/1000-BB122*1.12)*PropTaxAdj,IF(BB122*1.12&lt;N122*60/1000,(N122*60/1000-BB122*1.12)*PropTaxAdj,0)),2),0)</f>
        <v>0</v>
      </c>
      <c r="BK122" s="192">
        <f>ROUND(IF($F122=4,0,Y122*Worksheet!$E$16),2)</f>
        <v>1.5</v>
      </c>
      <c r="BL122" s="192">
        <f>ROUND(IF($F122=4,0,Z122*Worksheet!$E$17),2)</f>
        <v>58</v>
      </c>
      <c r="BM122" s="192">
        <f>ROUND(IF($F122=4,0,AA122*Worksheet!$E$18),2)</f>
        <v>390</v>
      </c>
      <c r="BN122" s="192">
        <f>ROUND(IF($F122=4,0,AB122*Worksheet!$E$19),2)</f>
        <v>117</v>
      </c>
      <c r="BO122" s="192">
        <f>ROUND(IF($F122=4,0,AC122*Worksheet!$E$20),2)</f>
        <v>220</v>
      </c>
      <c r="BP122" s="192">
        <f>ROUND(AD122*Worksheet!$E$21,2)</f>
        <v>0</v>
      </c>
      <c r="BQ122" s="192">
        <f t="shared" si="76"/>
        <v>786.5</v>
      </c>
      <c r="BR122" s="192">
        <f>ROUND(AD122*Worksheet!$E$25,2)</f>
        <v>0</v>
      </c>
      <c r="BS122" s="192">
        <f>ROUND(SUM(BQ122)*Worksheet!$E$26,2)</f>
        <v>69.209999999999994</v>
      </c>
      <c r="BT122" s="192">
        <f>ROUND(Y122*Worksheet!$E$27,2)</f>
        <v>0.26</v>
      </c>
      <c r="BU122" s="192">
        <f>ROUND(AO122*Worksheet!$E$29,2)</f>
        <v>5.0999999999999996</v>
      </c>
      <c r="BV122" s="192">
        <f>ROUND(AP122*Worksheet!$E$30,2)</f>
        <v>0</v>
      </c>
      <c r="BW122" s="192">
        <f>ROUND(IF($I122&lt;&gt;0,$BQ122*Worksheet!$E$28,0),2)</f>
        <v>1.57</v>
      </c>
      <c r="BX122" s="192">
        <f>ROUND(AE122*Worksheet!$E$31,2)</f>
        <v>8.73</v>
      </c>
      <c r="BY122" s="192">
        <f>ROUND(AF122*Worksheet!$E$32,2)</f>
        <v>3.92</v>
      </c>
      <c r="BZ122" s="192">
        <f>ROUND(AG122*Worksheet!$E$33,2)</f>
        <v>1.19</v>
      </c>
      <c r="CA122" s="192">
        <f>ROUND(ROUND(AH122*BQ122,2)*Worksheet!$E$34,2)</f>
        <v>6.55</v>
      </c>
      <c r="CB122" s="192">
        <f>ROUND(AI122*Worksheet!$E$35,2)</f>
        <v>0.42</v>
      </c>
      <c r="CC122" s="192">
        <f>ROUND(AJ122*Worksheet!$E$36,2)</f>
        <v>0</v>
      </c>
      <c r="CD122" s="192">
        <f>ROUND(AQ122*Worksheet!$E$38,2)</f>
        <v>1.5</v>
      </c>
      <c r="CE122" s="192">
        <f>ROUND(AR122*Worksheet!$E$39,2)</f>
        <v>0.14000000000000001</v>
      </c>
      <c r="CF122" s="192">
        <f>IF(AND(L122&gt;275,SUM(Y122:AD122)&lt;100),ROUND(SUM(Y122:AD122)*Worksheet!$E$41,2),0)</f>
        <v>0</v>
      </c>
      <c r="CG122" s="192">
        <f>IF(AND(L122&gt;600,SUM(Y122:AD122)&lt;50),ROUND((50-SUM(Y122:AD122))*(Worksheet!$E$41+1),2),0)</f>
        <v>0</v>
      </c>
      <c r="CH122" s="192">
        <f t="shared" si="77"/>
        <v>885.09</v>
      </c>
      <c r="CI122" s="116">
        <f t="shared" si="95"/>
        <v>0</v>
      </c>
      <c r="CJ122" s="116">
        <f t="shared" si="96"/>
        <v>885.09</v>
      </c>
      <c r="CK122" s="95">
        <f t="shared" si="91"/>
        <v>1.01</v>
      </c>
      <c r="CL122" s="116">
        <f t="shared" si="97"/>
        <v>893.94</v>
      </c>
      <c r="CM122" s="116">
        <f t="shared" si="98"/>
        <v>893.94</v>
      </c>
      <c r="CN122" s="116">
        <f t="shared" si="92"/>
        <v>10399204.02</v>
      </c>
      <c r="CO122" s="131">
        <f>ROUND(IF(F122=4,0,(MAX(ROUND(MAX((BI122*MIN(CL122,K122)*Worksheet!$D$126)+MAX(CL122-K122,0)*Worksheet!$F$50,SUM(J122)),2),SUM(CN122))-SUM(CN122))*MinAdj),2)</f>
        <v>0</v>
      </c>
      <c r="CP122" s="192">
        <f t="shared" si="93"/>
        <v>10399204.02</v>
      </c>
      <c r="CQ122" s="131">
        <f>IF(CL122=0,0,-MIN(CP122,MIN(CP122,ROUND(IF(ROUND(IF(CL122=0,0,N122/CL122),2)&lt;STVPP*0.2,STVPP*0.2*CL122*Worksheet!$F$88/1000,N122*Worksheet!$F$88/1000),2))))</f>
        <v>-4282007.28</v>
      </c>
      <c r="CR122" s="193">
        <f>-MIN(SUM(CP122,CQ122),IF($P122=0,(ROUND(Worksheet!$E$77*S122,2)+ROUND(Worksheet!$E$78*T122,2)+ROUND(Worksheet!$E$79*U122,2)+ROUND(Worksheet!$E$80*V122,2)+ROUND(Worksheet!$E$81*W122,2)+ROUND(Worksheet!$E$82*X122,2)),(ROUND(ROUND(S122*ROUND((1-$O122/$P122),4),2)*Worksheet!$E$77,2)+ROUND(ROUND(T122*ROUND((1-$O122/$P122),4),2)*Worksheet!$E$78,2)+ROUND(ROUND(U122*ROUND((1-$O122/$P122),4),2)*Worksheet!$E$79,2)+ROUND(ROUND(V122*ROUND((1-$O122/$P122),4),2)*Worksheet!$E$80,2)+ROUND(ROUND(W122*ROUND((1-$O122/$P122),4),2)*Worksheet!$E$81,2)+ROUND(ROUND(X122*ROUND((1-$O122/$P122),4),2)*Worksheet!$E$82,2))))</f>
        <v>-1329650.47</v>
      </c>
      <c r="CS122" s="192">
        <f t="shared" si="78"/>
        <v>4787546.2699999996</v>
      </c>
      <c r="CT122" s="116">
        <f>ROUND(MIN(BA122,ROUND((ROUND(AS122*Worksheet!$E$104,2)+ROUND(AV122*Worksheet!$E$107,2)+ROUND(AT122*Worksheet!$E$105,2)+ROUND(AW122*Worksheet!$E$108,2)+ROUND(AU122*Worksheet!$E$106,2)+ROUND(AX122*Worksheet!$E$109,2)+ROUND(AY122*Worksheet!$E$110,2)+ROUND(AZ122*Worksheet!$E$111,2))*Worksheet!$D$114,2))*BaseRate,2)</f>
        <v>245107.31</v>
      </c>
      <c r="CU122" s="121">
        <v>0</v>
      </c>
      <c r="CV122" s="121">
        <v>0</v>
      </c>
      <c r="CW122" s="121">
        <v>0</v>
      </c>
      <c r="CX122" s="121">
        <v>0</v>
      </c>
      <c r="CY122" s="121">
        <v>0</v>
      </c>
      <c r="DA122" s="192">
        <f t="shared" si="79"/>
        <v>0</v>
      </c>
      <c r="DB122" s="192">
        <f>MAX(-CT122,MIN(0,ROUND($R122*EFBPercent+EFBAdd,2)-$Q122),MIN(0,SUM($CS122:CS122)+MIN(0,ROUND($R122*EFBPercent+EFBAdd,2)-$Q122)))</f>
        <v>0</v>
      </c>
      <c r="DC122" s="192">
        <f>IF(CU122&lt;0,0,MAX(-CU122,MIN(0,ROUND($R122*EFBPercent+EFBAdd,2)-$Q122),MIN(0,SUM($CS122:CT122)+MIN(0,ROUND($R122*EFBPercent+EFBAdd,2)-$Q122))))</f>
        <v>0</v>
      </c>
      <c r="DD122" s="192">
        <f>IF(CV122&lt;0,0,MAX(-CV122,MIN(0,ROUND($R122*EFBPercent+EFBAdd,2)-$Q122),MIN(0,SUM($CS122:CU122)+MIN(0,ROUND($R122*EFBPercent+EFBAdd,2)-$Q122))))</f>
        <v>0</v>
      </c>
      <c r="DE122" s="192">
        <f>IF(CW122&lt;0,0,MAX(-CW122,MIN(0,ROUND($R122*EFBPercent+EFBAdd,2)-$Q122),MIN(0,SUM($CS122:CV122)+MIN(0,ROUND($R122*EFBPercent+EFBAdd,2)-$Q122))))</f>
        <v>0</v>
      </c>
      <c r="DF122" s="192">
        <f>IF(CX122&lt;0,0,MAX(-CX122,MIN(0,ROUND($R122*EFBPercent+EFBAdd,2)-$Q122),MIN(0,SUM($CS122:CW122)+MIN(0,ROUND($R122*EFBPercent+EFBAdd,2)-$Q122))))</f>
        <v>0</v>
      </c>
      <c r="DG122" s="192">
        <f>MAX(-CY122,MIN(0,ROUND($R122*EFBPercent+EFBAdd,2)-$Q122),MIN(0,SUM($CS122:CX122)+MIN(0,ROUND($R122*EFBPercent+EFBAdd,2)-$Q122)))</f>
        <v>0</v>
      </c>
      <c r="DI122" s="73">
        <f t="shared" si="80"/>
        <v>4787546.2699999996</v>
      </c>
      <c r="DJ122" s="73">
        <f t="shared" si="81"/>
        <v>245107.31</v>
      </c>
      <c r="DK122" s="73">
        <f t="shared" si="82"/>
        <v>0</v>
      </c>
      <c r="DL122" s="73">
        <f t="shared" si="83"/>
        <v>0</v>
      </c>
      <c r="DM122" s="73">
        <f t="shared" si="84"/>
        <v>0</v>
      </c>
      <c r="DN122" s="73">
        <f t="shared" si="85"/>
        <v>0</v>
      </c>
      <c r="DO122" s="73">
        <f t="shared" si="86"/>
        <v>0</v>
      </c>
      <c r="DP122" s="73"/>
      <c r="DQ122" s="73"/>
    </row>
    <row r="123" spans="1:121" ht="10.199999999999999" x14ac:dyDescent="0.2">
      <c r="A123" s="4" t="s">
        <v>593</v>
      </c>
      <c r="B123" s="188">
        <v>1132</v>
      </c>
      <c r="C123" s="189" t="s">
        <v>119</v>
      </c>
      <c r="D123" s="4">
        <v>2027</v>
      </c>
      <c r="E123" s="4" t="s">
        <v>432</v>
      </c>
      <c r="F123" s="4">
        <v>1</v>
      </c>
      <c r="G123" s="4" t="s">
        <v>684</v>
      </c>
      <c r="H123" s="4">
        <v>100</v>
      </c>
      <c r="I123" s="4" t="s">
        <v>1152</v>
      </c>
      <c r="J123" s="5">
        <v>3430117.6000000006</v>
      </c>
      <c r="K123" s="5">
        <v>355.6</v>
      </c>
      <c r="L123" s="5">
        <v>358</v>
      </c>
      <c r="M123" s="5">
        <v>0</v>
      </c>
      <c r="N123" s="5">
        <v>22065015</v>
      </c>
      <c r="O123" s="5">
        <v>20</v>
      </c>
      <c r="P123" s="5">
        <v>90</v>
      </c>
      <c r="Q123" s="5">
        <v>0</v>
      </c>
      <c r="R123" s="5">
        <v>0</v>
      </c>
      <c r="S123" s="5">
        <v>0</v>
      </c>
      <c r="T123" s="5">
        <v>318839.94999999995</v>
      </c>
      <c r="U123" s="5">
        <v>5925.59</v>
      </c>
      <c r="V123" s="5">
        <v>97055</v>
      </c>
      <c r="W123" s="5">
        <v>21578.52</v>
      </c>
      <c r="X123" s="5">
        <v>3790.96</v>
      </c>
      <c r="Y123" s="5">
        <v>0</v>
      </c>
      <c r="Z123" s="5">
        <v>23</v>
      </c>
      <c r="AA123" s="5">
        <v>118</v>
      </c>
      <c r="AB123" s="5">
        <v>41</v>
      </c>
      <c r="AC123" s="5">
        <v>68</v>
      </c>
      <c r="AD123" s="5">
        <v>0</v>
      </c>
      <c r="AE123" s="5">
        <v>1</v>
      </c>
      <c r="AF123" s="5">
        <v>2</v>
      </c>
      <c r="AG123" s="5">
        <v>1</v>
      </c>
      <c r="AH123" s="5">
        <v>0.56599999999999995</v>
      </c>
      <c r="AI123" s="5">
        <v>0.99</v>
      </c>
      <c r="AJ123" s="5">
        <v>0</v>
      </c>
      <c r="AK123" s="5">
        <v>0</v>
      </c>
      <c r="AL123" s="5">
        <v>251.56000000000003</v>
      </c>
      <c r="AM123" s="5">
        <v>0</v>
      </c>
      <c r="AN123" s="5">
        <v>250</v>
      </c>
      <c r="AO123" s="5">
        <f t="shared" si="94"/>
        <v>1.5600000000000307</v>
      </c>
      <c r="AP123" s="5">
        <f t="shared" si="103"/>
        <v>0</v>
      </c>
      <c r="AQ123" s="5">
        <v>0</v>
      </c>
      <c r="AR123" s="5">
        <v>0</v>
      </c>
      <c r="AS123" s="5">
        <v>0</v>
      </c>
      <c r="AT123" s="5">
        <v>352800</v>
      </c>
      <c r="AU123" s="5">
        <v>0</v>
      </c>
      <c r="AV123" s="5">
        <v>3500</v>
      </c>
      <c r="AW123" s="199">
        <v>358</v>
      </c>
      <c r="AX123" s="199">
        <v>2</v>
      </c>
      <c r="AY123" s="199">
        <v>0</v>
      </c>
      <c r="AZ123" s="199">
        <v>0</v>
      </c>
      <c r="BA123" s="5">
        <v>223758.31</v>
      </c>
      <c r="BB123" s="13">
        <v>1226138.58</v>
      </c>
      <c r="BC123" s="190">
        <f>MAX(ROUND(IF(F123&lt;4,IF(H123=0,(SUM(Y123:AD123)*Worksheet!$E$26+Y123*Worksheet!$E$27+AR123*Worksheet!$E$39)*-BaseRate,0)),2),MIN(0,-DI123))</f>
        <v>0</v>
      </c>
      <c r="BD123" s="190">
        <f>MAX(ROUND(IF(F123=4,0,IF(I123=0,0,ROUND(SUM(Y123:AD123)*Worksheet!$E$28,2)*-BaseRate)),2),MIN(0,-DI123-BC123))</f>
        <v>-5816.5</v>
      </c>
      <c r="BE123" s="130">
        <f t="shared" si="87"/>
        <v>0</v>
      </c>
      <c r="BF123" s="130">
        <f t="shared" si="88"/>
        <v>1412</v>
      </c>
      <c r="BG123" s="73"/>
      <c r="BH123" s="191">
        <f t="shared" si="89"/>
        <v>65944.460000000006</v>
      </c>
      <c r="BI123" s="191">
        <f t="shared" si="90"/>
        <v>9646</v>
      </c>
      <c r="BJ123" s="232">
        <f>IFERROR(ROUND(IF(AND(BB123*1.12&lt;N123*60/1000,N123/CL123&lt;STVPP*0.2),(CL123*STVPP*0.2*Worksheet!$F$88/1000-BB123*1.12)*PropTaxAdj,IF(BB123*1.12&lt;N123*60/1000,(N123*60/1000-BB123*1.12)*PropTaxAdj,0)),2),0)</f>
        <v>0</v>
      </c>
      <c r="BK123" s="192">
        <f>ROUND(IF($F123=4,0,Y123*Worksheet!$E$16),2)</f>
        <v>0</v>
      </c>
      <c r="BL123" s="192">
        <f>ROUND(IF($F123=4,0,Z123*Worksheet!$E$17),2)</f>
        <v>23</v>
      </c>
      <c r="BM123" s="192">
        <f>ROUND(IF($F123=4,0,AA123*Worksheet!$E$18),2)</f>
        <v>118</v>
      </c>
      <c r="BN123" s="192">
        <f>ROUND(IF($F123=4,0,AB123*Worksheet!$E$19),2)</f>
        <v>41</v>
      </c>
      <c r="BO123" s="192">
        <f>ROUND(IF($F123=4,0,AC123*Worksheet!$E$20),2)</f>
        <v>68</v>
      </c>
      <c r="BP123" s="192">
        <f>ROUND(AD123*Worksheet!$E$21,2)</f>
        <v>0</v>
      </c>
      <c r="BQ123" s="192">
        <f t="shared" si="76"/>
        <v>250</v>
      </c>
      <c r="BR123" s="192">
        <f>ROUND(AD123*Worksheet!$E$25,2)</f>
        <v>0</v>
      </c>
      <c r="BS123" s="192">
        <f>ROUND(SUM(BQ123)*Worksheet!$E$26,2)</f>
        <v>22</v>
      </c>
      <c r="BT123" s="192">
        <f>ROUND(Y123*Worksheet!$E$27,2)</f>
        <v>0</v>
      </c>
      <c r="BU123" s="192">
        <f>ROUND(AO123*Worksheet!$E$29,2)</f>
        <v>1.56</v>
      </c>
      <c r="BV123" s="192">
        <f>ROUND(AP123*Worksheet!$E$30,2)</f>
        <v>0</v>
      </c>
      <c r="BW123" s="192">
        <f>ROUND(IF($I123&lt;&gt;0,$BQ123*Worksheet!$E$28,0),2)</f>
        <v>0.5</v>
      </c>
      <c r="BX123" s="192">
        <f>ROUND(AE123*Worksheet!$E$31,2)</f>
        <v>0.4</v>
      </c>
      <c r="BY123" s="192">
        <f>ROUND(AF123*Worksheet!$E$32,2)</f>
        <v>0.56000000000000005</v>
      </c>
      <c r="BZ123" s="192">
        <f>ROUND(AG123*Worksheet!$E$33,2)</f>
        <v>7.0000000000000007E-2</v>
      </c>
      <c r="CA123" s="192">
        <f>ROUND(ROUND(AH123*BQ123,2)*Worksheet!$E$34,2)</f>
        <v>3.54</v>
      </c>
      <c r="CB123" s="192">
        <f>ROUND(AI123*Worksheet!$E$35,2)</f>
        <v>0.2</v>
      </c>
      <c r="CC123" s="192">
        <f>ROUND(AJ123*Worksheet!$E$36,2)</f>
        <v>0</v>
      </c>
      <c r="CD123" s="192">
        <f>ROUND(AQ123*Worksheet!$E$38,2)</f>
        <v>0</v>
      </c>
      <c r="CE123" s="192">
        <f>ROUND(AR123*Worksheet!$E$39,2)</f>
        <v>0</v>
      </c>
      <c r="CF123" s="192">
        <f>IF(AND(L123&gt;275,SUM(Y123:AD123)&lt;100),ROUND(SUM(Y123:AD123)*Worksheet!$E$41,2),0)</f>
        <v>0</v>
      </c>
      <c r="CG123" s="192">
        <f>IF(AND(L123&gt;600,SUM(Y123:AD123)&lt;50),ROUND((50-SUM(Y123:AD123))*(Worksheet!$E$41+1),2),0)</f>
        <v>0</v>
      </c>
      <c r="CH123" s="192">
        <f t="shared" si="77"/>
        <v>278.83</v>
      </c>
      <c r="CI123" s="116">
        <f t="shared" si="95"/>
        <v>0</v>
      </c>
      <c r="CJ123" s="116">
        <f t="shared" si="96"/>
        <v>278.83</v>
      </c>
      <c r="CK123" s="95">
        <f t="shared" si="91"/>
        <v>1.2</v>
      </c>
      <c r="CL123" s="116">
        <f t="shared" si="97"/>
        <v>334.6</v>
      </c>
      <c r="CM123" s="116">
        <f t="shared" si="98"/>
        <v>334.6</v>
      </c>
      <c r="CN123" s="116">
        <f t="shared" si="92"/>
        <v>3892401.8</v>
      </c>
      <c r="CO123" s="131">
        <f>ROUND(IF(F123=4,0,(MAX(ROUND(MAX((BI123*MIN(CL123,K123)*Worksheet!$D$126)+MAX(CL123-K123,0)*Worksheet!$F$50,SUM(J123)),2),SUM(CN123))-SUM(CN123))*MinAdj),2)</f>
        <v>0</v>
      </c>
      <c r="CP123" s="192">
        <f t="shared" si="93"/>
        <v>3892401.8</v>
      </c>
      <c r="CQ123" s="131">
        <f>IF(CL123=0,0,-MIN(CP123,MIN(CP123,ROUND(IF(ROUND(IF(CL123=0,0,N123/CL123),2)&lt;STVPP*0.2,STVPP*0.2*CL123*Worksheet!$F$88/1000,N123*Worksheet!$F$88/1000),2))))</f>
        <v>-1323900.8999999999</v>
      </c>
      <c r="CR123" s="193">
        <f>-MIN(SUM(CP123,CQ123),IF($P123=0,(ROUND(Worksheet!$E$77*S123,2)+ROUND(Worksheet!$E$78*T123,2)+ROUND(Worksheet!$E$79*U123,2)+ROUND(Worksheet!$E$80*V123,2)+ROUND(Worksheet!$E$81*W123,2)+ROUND(Worksheet!$E$82*X123,2)),(ROUND(ROUND(S123*ROUND((1-$O123/$P123),4),2)*Worksheet!$E$77,2)+ROUND(ROUND(T123*ROUND((1-$O123/$P123),4),2)*Worksheet!$E$78,2)+ROUND(ROUND(U123*ROUND((1-$O123/$P123),4),2)*Worksheet!$E$79,2)+ROUND(ROUND(V123*ROUND((1-$O123/$P123),4),2)*Worksheet!$E$80,2)+ROUND(ROUND(W123*ROUND((1-$O123/$P123),4),2)*Worksheet!$E$81,2)+ROUND(ROUND(X123*ROUND((1-$O123/$P123),4),2)*Worksheet!$E$82,2))))</f>
        <v>-260868.3</v>
      </c>
      <c r="CS123" s="192">
        <f t="shared" si="78"/>
        <v>2307632.6</v>
      </c>
      <c r="CT123" s="116">
        <f>ROUND(MIN(BA123,ROUND((ROUND(AS123*Worksheet!$E$104,2)+ROUND(AV123*Worksheet!$E$107,2)+ROUND(AT123*Worksheet!$E$105,2)+ROUND(AW123*Worksheet!$E$108,2)+ROUND(AU123*Worksheet!$E$106,2)+ROUND(AX123*Worksheet!$E$109,2)+ROUND(AY123*Worksheet!$E$110,2)+ROUND(AZ123*Worksheet!$E$111,2))*Worksheet!$D$114,2))*BaseRate,2)</f>
        <v>456711.58</v>
      </c>
      <c r="CU123" s="121">
        <v>0</v>
      </c>
      <c r="CV123" s="121">
        <v>0</v>
      </c>
      <c r="CW123" s="121">
        <v>0</v>
      </c>
      <c r="CX123" s="121">
        <v>0</v>
      </c>
      <c r="CY123" s="121">
        <v>0</v>
      </c>
      <c r="DA123" s="192">
        <f t="shared" si="79"/>
        <v>0</v>
      </c>
      <c r="DB123" s="192">
        <f>MAX(-CT123,MIN(0,ROUND($R123*EFBPercent+EFBAdd,2)-$Q123),MIN(0,SUM($CS123:CS123)+MIN(0,ROUND($R123*EFBPercent+EFBAdd,2)-$Q123)))</f>
        <v>0</v>
      </c>
      <c r="DC123" s="192">
        <f>IF(CU123&lt;0,0,MAX(-CU123,MIN(0,ROUND($R123*EFBPercent+EFBAdd,2)-$Q123),MIN(0,SUM($CS123:CT123)+MIN(0,ROUND($R123*EFBPercent+EFBAdd,2)-$Q123))))</f>
        <v>0</v>
      </c>
      <c r="DD123" s="192">
        <f>IF(CV123&lt;0,0,MAX(-CV123,MIN(0,ROUND($R123*EFBPercent+EFBAdd,2)-$Q123),MIN(0,SUM($CS123:CU123)+MIN(0,ROUND($R123*EFBPercent+EFBAdd,2)-$Q123))))</f>
        <v>0</v>
      </c>
      <c r="DE123" s="192">
        <f>IF(CW123&lt;0,0,MAX(-CW123,MIN(0,ROUND($R123*EFBPercent+EFBAdd,2)-$Q123),MIN(0,SUM($CS123:CV123)+MIN(0,ROUND($R123*EFBPercent+EFBAdd,2)-$Q123))))</f>
        <v>0</v>
      </c>
      <c r="DF123" s="192">
        <f>IF(CX123&lt;0,0,MAX(-CX123,MIN(0,ROUND($R123*EFBPercent+EFBAdd,2)-$Q123),MIN(0,SUM($CS123:CW123)+MIN(0,ROUND($R123*EFBPercent+EFBAdd,2)-$Q123))))</f>
        <v>0</v>
      </c>
      <c r="DG123" s="192">
        <f>MAX(-CY123,MIN(0,ROUND($R123*EFBPercent+EFBAdd,2)-$Q123),MIN(0,SUM($CS123:CX123)+MIN(0,ROUND($R123*EFBPercent+EFBAdd,2)-$Q123)))</f>
        <v>0</v>
      </c>
      <c r="DI123" s="73">
        <f t="shared" si="80"/>
        <v>2307632.6</v>
      </c>
      <c r="DJ123" s="73">
        <f t="shared" si="81"/>
        <v>456711.58</v>
      </c>
      <c r="DK123" s="73">
        <f t="shared" si="82"/>
        <v>0</v>
      </c>
      <c r="DL123" s="73">
        <f t="shared" si="83"/>
        <v>0</v>
      </c>
      <c r="DM123" s="73">
        <f t="shared" si="84"/>
        <v>0</v>
      </c>
      <c r="DN123" s="73">
        <f t="shared" si="85"/>
        <v>0</v>
      </c>
      <c r="DO123" s="73">
        <f t="shared" si="86"/>
        <v>0</v>
      </c>
      <c r="DP123" s="73"/>
      <c r="DQ123" s="73"/>
    </row>
    <row r="124" spans="1:121" ht="10.199999999999999" x14ac:dyDescent="0.2">
      <c r="A124" s="4" t="s">
        <v>673</v>
      </c>
      <c r="B124" s="188">
        <v>2517</v>
      </c>
      <c r="C124" s="189" t="s">
        <v>192</v>
      </c>
      <c r="D124" s="4">
        <v>2027</v>
      </c>
      <c r="E124" s="4" t="s">
        <v>1041</v>
      </c>
      <c r="F124" s="4">
        <v>7</v>
      </c>
      <c r="G124" s="4" t="s">
        <v>673</v>
      </c>
      <c r="H124" s="4">
        <v>0</v>
      </c>
      <c r="I124" s="4">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f t="shared" si="94"/>
        <v>0</v>
      </c>
      <c r="AP124" s="5">
        <v>0</v>
      </c>
      <c r="AQ124" s="5">
        <v>0</v>
      </c>
      <c r="AR124" s="5">
        <v>0</v>
      </c>
      <c r="AS124" s="5">
        <v>0</v>
      </c>
      <c r="AT124" s="5">
        <v>0</v>
      </c>
      <c r="AU124" s="5">
        <v>0</v>
      </c>
      <c r="AV124" s="5">
        <v>0</v>
      </c>
      <c r="AW124" s="199">
        <v>0</v>
      </c>
      <c r="AX124" s="199">
        <v>0</v>
      </c>
      <c r="AY124" s="199">
        <v>0</v>
      </c>
      <c r="AZ124" s="199">
        <v>0</v>
      </c>
      <c r="BA124" s="5">
        <v>0</v>
      </c>
      <c r="BB124" s="13">
        <v>0</v>
      </c>
      <c r="BC124" s="190">
        <f>MAX(ROUND(IF(F124&lt;4,IF(H124=0,(SUM(Y124:AD124)*Worksheet!$E$26+Y124*Worksheet!$E$27+AR124*Worksheet!$E$39)*-BaseRate,0)),2),MIN(0,-DI124))</f>
        <v>0</v>
      </c>
      <c r="BD124" s="190">
        <f>MAX(ROUND(IF(F124=4,0,IF(I124=0,0,ROUND(SUM(Y124:AD124)*Worksheet!$E$28,2)*-BaseRate)),2),MIN(0,-DI124-BC124))</f>
        <v>0</v>
      </c>
      <c r="BE124" s="130">
        <f t="shared" si="87"/>
        <v>0</v>
      </c>
      <c r="BF124" s="130">
        <f t="shared" si="88"/>
        <v>0</v>
      </c>
      <c r="BG124" s="73"/>
      <c r="BH124" s="191">
        <f t="shared" si="89"/>
        <v>0</v>
      </c>
      <c r="BI124" s="191">
        <f t="shared" si="90"/>
        <v>0</v>
      </c>
      <c r="BJ124" s="232">
        <f>IFERROR(ROUND(IF(AND(BB124*1.12&lt;N124*60/1000,N124/CL124&lt;STVPP*0.2),(CL124*STVPP*0.2*Worksheet!$F$88/1000-BB124*1.12)*PropTaxAdj,IF(BB124*1.12&lt;N124*60/1000,(N124*60/1000-BB124*1.12)*PropTaxAdj,0)),2),0)</f>
        <v>0</v>
      </c>
      <c r="BK124" s="192">
        <f>ROUND(IF($F124=4,0,Y124*Worksheet!$E$16),2)</f>
        <v>0</v>
      </c>
      <c r="BL124" s="192">
        <f>ROUND(IF($F124=4,0,Z124*Worksheet!$E$17),2)</f>
        <v>0</v>
      </c>
      <c r="BM124" s="192">
        <f>ROUND(IF($F124=4,0,AA124*Worksheet!$E$18),2)</f>
        <v>0</v>
      </c>
      <c r="BN124" s="192">
        <f>ROUND(IF($F124=4,0,AB124*Worksheet!$E$19),2)</f>
        <v>0</v>
      </c>
      <c r="BO124" s="192">
        <f>ROUND(IF($F124=4,0,AC124*Worksheet!$E$20),2)</f>
        <v>0</v>
      </c>
      <c r="BP124" s="192">
        <f>ROUND(AD124*Worksheet!$E$21,2)</f>
        <v>0</v>
      </c>
      <c r="BQ124" s="192">
        <f t="shared" si="76"/>
        <v>0</v>
      </c>
      <c r="BR124" s="192">
        <f>ROUND(AD124*Worksheet!$E$25,2)</f>
        <v>0</v>
      </c>
      <c r="BS124" s="192">
        <f>ROUND(SUM(BQ124)*Worksheet!$E$26,2)</f>
        <v>0</v>
      </c>
      <c r="BT124" s="192">
        <f>ROUND(Y124*Worksheet!$E$27,2)</f>
        <v>0</v>
      </c>
      <c r="BU124" s="192">
        <f>ROUND(AO124*Worksheet!$E$29,2)</f>
        <v>0</v>
      </c>
      <c r="BV124" s="192">
        <f>ROUND(AP124*Worksheet!$E$30,2)</f>
        <v>0</v>
      </c>
      <c r="BW124" s="192">
        <f>ROUND(IF($I124&lt;&gt;0,$BQ124*Worksheet!$E$28,0),2)</f>
        <v>0</v>
      </c>
      <c r="BX124" s="192">
        <f>ROUND(AE124*Worksheet!$E$31,2)</f>
        <v>0</v>
      </c>
      <c r="BY124" s="192">
        <f>ROUND(AF124*Worksheet!$E$32,2)</f>
        <v>0</v>
      </c>
      <c r="BZ124" s="192">
        <f>ROUND(AG124*Worksheet!$E$33,2)</f>
        <v>0</v>
      </c>
      <c r="CA124" s="192">
        <f>ROUND(ROUND(AH124*BQ124,2)*Worksheet!$E$34,2)</f>
        <v>0</v>
      </c>
      <c r="CB124" s="192">
        <f>ROUND(AI124*Worksheet!$E$35,2)</f>
        <v>0</v>
      </c>
      <c r="CC124" s="192">
        <f>ROUND(AJ124*Worksheet!$E$36,2)</f>
        <v>0</v>
      </c>
      <c r="CD124" s="192">
        <f>ROUND(AQ124*Worksheet!$E$38,2)</f>
        <v>0</v>
      </c>
      <c r="CE124" s="192">
        <f>ROUND(AR124*Worksheet!$E$39,2)</f>
        <v>0</v>
      </c>
      <c r="CF124" s="192">
        <f>IF(AND(L124&gt;275,SUM(Y124:AD124)&lt;100),ROUND(SUM(Y124:AD124)*Worksheet!$E$41,2),0)</f>
        <v>0</v>
      </c>
      <c r="CG124" s="192">
        <f>IF(AND(L124&gt;600,SUM(Y124:AD124)&lt;50),ROUND((50-SUM(Y124:AD124))*(Worksheet!$E$41+1),2),0)</f>
        <v>0</v>
      </c>
      <c r="CH124" s="192">
        <f t="shared" si="77"/>
        <v>0</v>
      </c>
      <c r="CI124" s="116">
        <f t="shared" si="95"/>
        <v>0</v>
      </c>
      <c r="CJ124" s="116">
        <f t="shared" si="96"/>
        <v>0</v>
      </c>
      <c r="CK124" s="95">
        <f t="shared" si="91"/>
        <v>0</v>
      </c>
      <c r="CL124" s="116">
        <f t="shared" si="97"/>
        <v>0</v>
      </c>
      <c r="CM124" s="116">
        <f t="shared" si="98"/>
        <v>0</v>
      </c>
      <c r="CN124" s="116">
        <f t="shared" si="92"/>
        <v>0</v>
      </c>
      <c r="CO124" s="131">
        <f>ROUND(IF(F124=4,0,(MAX(ROUND(MAX((BI124*MIN(CL124,K124)*Worksheet!$D$126)+MAX(CL124-K124,0)*Worksheet!$F$50,SUM(J124)),2),SUM(CN124))-SUM(CN124))*MinAdj),2)</f>
        <v>0</v>
      </c>
      <c r="CP124" s="192">
        <f t="shared" si="93"/>
        <v>0</v>
      </c>
      <c r="CQ124" s="131">
        <f>IF(CL124=0,0,-MIN(CP124,MIN(CP124,ROUND(IF(ROUND(IF(CL124=0,0,N124/CL124),2)&lt;STVPP*0.2,STVPP*0.2*CL124*Worksheet!$F$88/1000,N124*Worksheet!$F$88/1000),2))))</f>
        <v>0</v>
      </c>
      <c r="CR124" s="193">
        <f>-MIN(SUM(CP124,CQ124),IF($P124=0,(ROUND(Worksheet!$E$77*S124,2)+ROUND(Worksheet!$E$78*T124,2)+ROUND(Worksheet!$E$79*U124,2)+ROUND(Worksheet!$E$80*V124,2)+ROUND(Worksheet!$E$81*W124,2)+ROUND(Worksheet!$E$82*X124,2)),(ROUND(ROUND(S124*ROUND((1-$O124/$P124),4),2)*Worksheet!$E$77,2)+ROUND(ROUND(T124*ROUND((1-$O124/$P124),4),2)*Worksheet!$E$78,2)+ROUND(ROUND(U124*ROUND((1-$O124/$P124),4),2)*Worksheet!$E$79,2)+ROUND(ROUND(V124*ROUND((1-$O124/$P124),4),2)*Worksheet!$E$80,2)+ROUND(ROUND(W124*ROUND((1-$O124/$P124),4),2)*Worksheet!$E$81,2)+ROUND(ROUND(X124*ROUND((1-$O124/$P124),4),2)*Worksheet!$E$82,2))))</f>
        <v>0</v>
      </c>
      <c r="CS124" s="192">
        <f t="shared" si="78"/>
        <v>0</v>
      </c>
      <c r="CT124" s="116">
        <f>ROUND(MIN(BA124,ROUND((ROUND(AS124*Worksheet!$E$104,2)+ROUND(AV124*Worksheet!$E$107,2)+ROUND(AT124*Worksheet!$E$105,2)+ROUND(AW124*Worksheet!$E$108,2)+ROUND(AU124*Worksheet!$E$106,2)+ROUND(AX124*Worksheet!$E$109,2)+ROUND(AY124*Worksheet!$E$110,2)+ROUND(AZ124*Worksheet!$E$111,2))*Worksheet!$D$114,2))*BaseRate,2)</f>
        <v>0</v>
      </c>
      <c r="CU124" s="121">
        <v>0</v>
      </c>
      <c r="CV124" s="121">
        <v>0</v>
      </c>
      <c r="CW124" s="121">
        <v>0</v>
      </c>
      <c r="CX124" s="121">
        <v>0</v>
      </c>
      <c r="CY124" s="121">
        <v>0</v>
      </c>
      <c r="DA124" s="192">
        <f t="shared" si="79"/>
        <v>0</v>
      </c>
      <c r="DB124" s="192">
        <f>MAX(-CT124,MIN(0,ROUND($R124*EFBPercent+EFBAdd,2)-$Q124),MIN(0,SUM($CS124:CS124)+MIN(0,ROUND($R124*EFBPercent+EFBAdd,2)-$Q124)))</f>
        <v>0</v>
      </c>
      <c r="DC124" s="192">
        <f>IF(CU124&lt;0,0,MAX(-CU124,MIN(0,ROUND($R124*EFBPercent+EFBAdd,2)-$Q124),MIN(0,SUM($CS124:CT124)+MIN(0,ROUND($R124*EFBPercent+EFBAdd,2)-$Q124))))</f>
        <v>0</v>
      </c>
      <c r="DD124" s="192">
        <f>IF(CV124&lt;0,0,MAX(-CV124,MIN(0,ROUND($R124*EFBPercent+EFBAdd,2)-$Q124),MIN(0,SUM($CS124:CU124)+MIN(0,ROUND($R124*EFBPercent+EFBAdd,2)-$Q124))))</f>
        <v>0</v>
      </c>
      <c r="DE124" s="192">
        <f>IF(CW124&lt;0,0,MAX(-CW124,MIN(0,ROUND($R124*EFBPercent+EFBAdd,2)-$Q124),MIN(0,SUM($CS124:CV124)+MIN(0,ROUND($R124*EFBPercent+EFBAdd,2)-$Q124))))</f>
        <v>0</v>
      </c>
      <c r="DF124" s="192">
        <f>IF(CX124&lt;0,0,MAX(-CX124,MIN(0,ROUND($R124*EFBPercent+EFBAdd,2)-$Q124),MIN(0,SUM($CS124:CW124)+MIN(0,ROUND($R124*EFBPercent+EFBAdd,2)-$Q124))))</f>
        <v>0</v>
      </c>
      <c r="DG124" s="192">
        <f>MAX(-CY124,MIN(0,ROUND($R124*EFBPercent+EFBAdd,2)-$Q124),MIN(0,SUM($CS124:CX124)+MIN(0,ROUND($R124*EFBPercent+EFBAdd,2)-$Q124)))</f>
        <v>0</v>
      </c>
      <c r="DI124" s="73">
        <f t="shared" si="80"/>
        <v>0</v>
      </c>
      <c r="DJ124" s="73">
        <f t="shared" si="81"/>
        <v>0</v>
      </c>
      <c r="DK124" s="73">
        <f t="shared" si="82"/>
        <v>0</v>
      </c>
      <c r="DL124" s="73">
        <f t="shared" si="83"/>
        <v>0</v>
      </c>
      <c r="DM124" s="73">
        <f t="shared" si="84"/>
        <v>0</v>
      </c>
      <c r="DN124" s="73">
        <f t="shared" si="85"/>
        <v>0</v>
      </c>
      <c r="DO124" s="73">
        <f t="shared" si="86"/>
        <v>0</v>
      </c>
      <c r="DP124" s="73"/>
      <c r="DQ124" s="73"/>
    </row>
    <row r="125" spans="1:121" ht="10.199999999999999" x14ac:dyDescent="0.2">
      <c r="A125" s="4" t="s">
        <v>594</v>
      </c>
      <c r="B125" s="188">
        <v>1024</v>
      </c>
      <c r="C125" s="189" t="s">
        <v>120</v>
      </c>
      <c r="D125" s="4">
        <v>2027</v>
      </c>
      <c r="E125" s="4" t="s">
        <v>433</v>
      </c>
      <c r="F125" s="4">
        <v>1</v>
      </c>
      <c r="G125" s="4" t="s">
        <v>675</v>
      </c>
      <c r="H125" s="4">
        <v>0</v>
      </c>
      <c r="I125" s="4" t="s">
        <v>849</v>
      </c>
      <c r="J125" s="5">
        <v>4479193.99</v>
      </c>
      <c r="K125" s="5">
        <v>353.71</v>
      </c>
      <c r="L125" s="5">
        <v>907.43</v>
      </c>
      <c r="M125" s="5">
        <v>1</v>
      </c>
      <c r="N125" s="5">
        <v>25844582</v>
      </c>
      <c r="O125" s="5">
        <v>0</v>
      </c>
      <c r="P125" s="5">
        <v>81.8</v>
      </c>
      <c r="Q125" s="5">
        <v>0</v>
      </c>
      <c r="R125" s="5">
        <v>0</v>
      </c>
      <c r="S125" s="5">
        <v>38.53</v>
      </c>
      <c r="T125" s="5">
        <v>0</v>
      </c>
      <c r="U125" s="5">
        <v>0</v>
      </c>
      <c r="V125" s="5">
        <v>41039.32</v>
      </c>
      <c r="W125" s="5">
        <v>39982.479999999996</v>
      </c>
      <c r="X125" s="5">
        <v>39297.749999999985</v>
      </c>
      <c r="Y125" s="5">
        <v>3.14</v>
      </c>
      <c r="Z125" s="5">
        <v>23</v>
      </c>
      <c r="AA125" s="5">
        <v>113</v>
      </c>
      <c r="AB125" s="5">
        <v>46</v>
      </c>
      <c r="AC125" s="5">
        <v>78</v>
      </c>
      <c r="AD125" s="5">
        <v>0</v>
      </c>
      <c r="AE125" s="5">
        <v>0</v>
      </c>
      <c r="AF125" s="5">
        <v>1</v>
      </c>
      <c r="AG125" s="5">
        <v>1</v>
      </c>
      <c r="AH125" s="5">
        <v>0.315</v>
      </c>
      <c r="AI125" s="5">
        <v>0</v>
      </c>
      <c r="AJ125" s="5">
        <v>0</v>
      </c>
      <c r="AK125" s="5">
        <v>0</v>
      </c>
      <c r="AL125" s="5">
        <v>260.05</v>
      </c>
      <c r="AM125" s="5">
        <v>0</v>
      </c>
      <c r="AN125" s="5">
        <v>260</v>
      </c>
      <c r="AO125" s="5">
        <f t="shared" si="94"/>
        <v>5.0000000000011369E-2</v>
      </c>
      <c r="AP125" s="5">
        <f t="shared" ref="AP125:AP131" si="104">IF(AM125&gt;0,SUM(Z125:AD125)-AN125,0)</f>
        <v>0</v>
      </c>
      <c r="AQ125" s="5">
        <v>1.23</v>
      </c>
      <c r="AR125" s="5">
        <v>0</v>
      </c>
      <c r="AS125" s="5">
        <v>7191</v>
      </c>
      <c r="AT125" s="5">
        <v>244800</v>
      </c>
      <c r="AU125" s="5">
        <v>141</v>
      </c>
      <c r="AV125" s="5">
        <v>4420</v>
      </c>
      <c r="AW125" s="199">
        <v>907.43</v>
      </c>
      <c r="AX125" s="199">
        <v>2</v>
      </c>
      <c r="AY125" s="199">
        <v>3400</v>
      </c>
      <c r="AZ125" s="199">
        <v>0</v>
      </c>
      <c r="BA125" s="5">
        <v>576579.32999999996</v>
      </c>
      <c r="BB125" s="13">
        <v>1537949.64</v>
      </c>
      <c r="BC125" s="190">
        <f>MAX(ROUND(IF(F125&lt;4,IF(H125=0,(SUM(Y125:AD125)*Worksheet!$E$26+Y125*Worksheet!$E$27+AR125*Worksheet!$E$39)*-BaseRate,0)),2),MIN(0,-DI125))</f>
        <v>-275587.17</v>
      </c>
      <c r="BD125" s="190">
        <f>MAX(ROUND(IF(F125=4,0,IF(I125=0,0,ROUND(SUM(Y125:AD125)*Worksheet!$E$28,2)*-BaseRate)),2),MIN(0,-DI125-BC125))</f>
        <v>-6165.49</v>
      </c>
      <c r="BE125" s="130">
        <f t="shared" si="87"/>
        <v>2514</v>
      </c>
      <c r="BF125" s="130">
        <f t="shared" si="88"/>
        <v>1405</v>
      </c>
      <c r="BG125" s="73"/>
      <c r="BH125" s="191">
        <f t="shared" si="89"/>
        <v>56376.29</v>
      </c>
      <c r="BI125" s="191">
        <f t="shared" si="90"/>
        <v>12663.46</v>
      </c>
      <c r="BJ125" s="232">
        <f>IFERROR(ROUND(IF(AND(BB125*1.12&lt;N125*60/1000,N125/CL125&lt;STVPP*0.2),(CL125*STVPP*0.2*Worksheet!$F$88/1000-BB125*1.12)*PropTaxAdj,IF(BB125*1.12&lt;N125*60/1000,(N125*60/1000-BB125*1.12)*PropTaxAdj,0)),2),0)</f>
        <v>0</v>
      </c>
      <c r="BK125" s="192">
        <f>ROUND(IF($F125=4,0,Y125*Worksheet!$E$16),2)</f>
        <v>3.14</v>
      </c>
      <c r="BL125" s="192">
        <f>ROUND(IF($F125=4,0,Z125*Worksheet!$E$17),2)</f>
        <v>23</v>
      </c>
      <c r="BM125" s="192">
        <f>ROUND(IF($F125=4,0,AA125*Worksheet!$E$18),2)</f>
        <v>113</v>
      </c>
      <c r="BN125" s="192">
        <f>ROUND(IF($F125=4,0,AB125*Worksheet!$E$19),2)</f>
        <v>46</v>
      </c>
      <c r="BO125" s="192">
        <f>ROUND(IF($F125=4,0,AC125*Worksheet!$E$20),2)</f>
        <v>78</v>
      </c>
      <c r="BP125" s="192">
        <f>ROUND(AD125*Worksheet!$E$21,2)</f>
        <v>0</v>
      </c>
      <c r="BQ125" s="192">
        <f t="shared" si="76"/>
        <v>263.14</v>
      </c>
      <c r="BR125" s="192">
        <f>ROUND(AD125*Worksheet!$E$25,2)</f>
        <v>0</v>
      </c>
      <c r="BS125" s="192">
        <f>ROUND(SUM(BQ125)*Worksheet!$E$26,2)</f>
        <v>23.16</v>
      </c>
      <c r="BT125" s="192">
        <f>ROUND(Y125*Worksheet!$E$27,2)</f>
        <v>0.53</v>
      </c>
      <c r="BU125" s="192">
        <f>ROUND(AO125*Worksheet!$E$29,2)</f>
        <v>0.05</v>
      </c>
      <c r="BV125" s="192">
        <f>ROUND(AP125*Worksheet!$E$30,2)</f>
        <v>0</v>
      </c>
      <c r="BW125" s="192">
        <f>ROUND(IF($I125&lt;&gt;0,$BQ125*Worksheet!$E$28,0),2)</f>
        <v>0.53</v>
      </c>
      <c r="BX125" s="192">
        <f>ROUND(AE125*Worksheet!$E$31,2)</f>
        <v>0</v>
      </c>
      <c r="BY125" s="192">
        <f>ROUND(AF125*Worksheet!$E$32,2)</f>
        <v>0.28000000000000003</v>
      </c>
      <c r="BZ125" s="192">
        <f>ROUND(AG125*Worksheet!$E$33,2)</f>
        <v>7.0000000000000007E-2</v>
      </c>
      <c r="CA125" s="192">
        <f>ROUND(ROUND(AH125*BQ125,2)*Worksheet!$E$34,2)</f>
        <v>2.0699999999999998</v>
      </c>
      <c r="CB125" s="192">
        <f>ROUND(AI125*Worksheet!$E$35,2)</f>
        <v>0</v>
      </c>
      <c r="CC125" s="192">
        <f>ROUND(AJ125*Worksheet!$E$36,2)</f>
        <v>0</v>
      </c>
      <c r="CD125" s="192">
        <f>ROUND(AQ125*Worksheet!$E$38,2)</f>
        <v>0.74</v>
      </c>
      <c r="CE125" s="192">
        <f>ROUND(AR125*Worksheet!$E$39,2)</f>
        <v>0</v>
      </c>
      <c r="CF125" s="192">
        <f>IF(AND(L125&gt;275,SUM(Y125:AD125)&lt;100),ROUND(SUM(Y125:AD125)*Worksheet!$E$41,2),0)</f>
        <v>0</v>
      </c>
      <c r="CG125" s="192">
        <f>IF(AND(L125&gt;600,SUM(Y125:AD125)&lt;50),ROUND((50-SUM(Y125:AD125))*(Worksheet!$E$41+1),2),0)</f>
        <v>0</v>
      </c>
      <c r="CH125" s="192">
        <f t="shared" si="77"/>
        <v>290.56999999999994</v>
      </c>
      <c r="CI125" s="116">
        <f t="shared" si="95"/>
        <v>0</v>
      </c>
      <c r="CJ125" s="116">
        <f t="shared" si="96"/>
        <v>290.56999999999994</v>
      </c>
      <c r="CK125" s="95">
        <f t="shared" si="91"/>
        <v>1.5777000000000001</v>
      </c>
      <c r="CL125" s="116">
        <f t="shared" si="97"/>
        <v>458.43</v>
      </c>
      <c r="CM125" s="116">
        <f t="shared" si="98"/>
        <v>458.43</v>
      </c>
      <c r="CN125" s="116">
        <f t="shared" si="92"/>
        <v>5332916.1900000004</v>
      </c>
      <c r="CO125" s="131">
        <f>ROUND(IF(F125=4,0,(MAX(ROUND(MAX((BI125*MIN(CL125,K125)*Worksheet!$D$126)+MAX(CL125-K125,0)*Worksheet!$F$50,SUM(J125)),2),SUM(CN125))-SUM(CN125))*MinAdj),2)</f>
        <v>68110.179999999993</v>
      </c>
      <c r="CP125" s="192">
        <f t="shared" si="93"/>
        <v>5401026.3700000001</v>
      </c>
      <c r="CQ125" s="131">
        <f>IF(CL125=0,0,-MIN(CP125,MIN(CP125,ROUND(IF(ROUND(IF(CL125=0,0,N125/CL125),2)&lt;STVPP*0.2,STVPP*0.2*CL125*Worksheet!$F$88/1000,N125*Worksheet!$F$88/1000),2))))</f>
        <v>-1550674.92</v>
      </c>
      <c r="CR125" s="193">
        <f>-MIN(SUM(CP125,CQ125),IF($P125=0,(ROUND(Worksheet!$E$77*S125,2)+ROUND(Worksheet!$E$78*T125,2)+ROUND(Worksheet!$E$79*U125,2)+ROUND(Worksheet!$E$80*V125,2)+ROUND(Worksheet!$E$81*W125,2)+ROUND(Worksheet!$E$82*X125,2)),(ROUND(ROUND(S125*ROUND((1-$O125/$P125),4),2)*Worksheet!$E$77,2)+ROUND(ROUND(T125*ROUND((1-$O125/$P125),4),2)*Worksheet!$E$78,2)+ROUND(ROUND(U125*ROUND((1-$O125/$P125),4),2)*Worksheet!$E$79,2)+ROUND(ROUND(V125*ROUND((1-$O125/$P125),4),2)*Worksheet!$E$80,2)+ROUND(ROUND(W125*ROUND((1-$O125/$P125),4),2)*Worksheet!$E$81,2)+ROUND(ROUND(X125*ROUND((1-$O125/$P125),4),2)*Worksheet!$E$82,2))))</f>
        <v>-90268.56</v>
      </c>
      <c r="CS125" s="192">
        <f t="shared" si="78"/>
        <v>3760082.89</v>
      </c>
      <c r="CT125" s="116">
        <f>ROUND(MIN(BA125,ROUND((ROUND(AS125*Worksheet!$E$104,2)+ROUND(AV125*Worksheet!$E$107,2)+ROUND(AT125*Worksheet!$E$105,2)+ROUND(AW125*Worksheet!$E$108,2)+ROUND(AU125*Worksheet!$E$106,2)+ROUND(AX125*Worksheet!$E$109,2)+ROUND(AY125*Worksheet!$E$110,2)+ROUND(AZ125*Worksheet!$E$111,2))*Worksheet!$D$114,2))*BaseRate,2)</f>
        <v>353177.88</v>
      </c>
      <c r="CU125" s="121">
        <v>9665.2099999999991</v>
      </c>
      <c r="CV125" s="121">
        <v>0</v>
      </c>
      <c r="CW125" s="121">
        <v>0</v>
      </c>
      <c r="CX125" s="121">
        <v>0</v>
      </c>
      <c r="CY125" s="121">
        <v>0</v>
      </c>
      <c r="DA125" s="192">
        <f t="shared" si="79"/>
        <v>0</v>
      </c>
      <c r="DB125" s="192">
        <f>MAX(-CT125,MIN(0,ROUND($R125*EFBPercent+EFBAdd,2)-$Q125),MIN(0,SUM($CS125:CS125)+MIN(0,ROUND($R125*EFBPercent+EFBAdd,2)-$Q125)))</f>
        <v>0</v>
      </c>
      <c r="DC125" s="192">
        <f>IF(CU125&lt;0,0,MAX(-CU125,MIN(0,ROUND($R125*EFBPercent+EFBAdd,2)-$Q125),MIN(0,SUM($CS125:CT125)+MIN(0,ROUND($R125*EFBPercent+EFBAdd,2)-$Q125))))</f>
        <v>0</v>
      </c>
      <c r="DD125" s="192">
        <f>IF(CV125&lt;0,0,MAX(-CV125,MIN(0,ROUND($R125*EFBPercent+EFBAdd,2)-$Q125),MIN(0,SUM($CS125:CU125)+MIN(0,ROUND($R125*EFBPercent+EFBAdd,2)-$Q125))))</f>
        <v>0</v>
      </c>
      <c r="DE125" s="192">
        <f>IF(CW125&lt;0,0,MAX(-CW125,MIN(0,ROUND($R125*EFBPercent+EFBAdd,2)-$Q125),MIN(0,SUM($CS125:CV125)+MIN(0,ROUND($R125*EFBPercent+EFBAdd,2)-$Q125))))</f>
        <v>0</v>
      </c>
      <c r="DF125" s="192">
        <f>IF(CX125&lt;0,0,MAX(-CX125,MIN(0,ROUND($R125*EFBPercent+EFBAdd,2)-$Q125),MIN(0,SUM($CS125:CW125)+MIN(0,ROUND($R125*EFBPercent+EFBAdd,2)-$Q125))))</f>
        <v>0</v>
      </c>
      <c r="DG125" s="192">
        <f>MAX(-CY125,MIN(0,ROUND($R125*EFBPercent+EFBAdd,2)-$Q125),MIN(0,SUM($CS125:CX125)+MIN(0,ROUND($R125*EFBPercent+EFBAdd,2)-$Q125)))</f>
        <v>0</v>
      </c>
      <c r="DI125" s="73">
        <f t="shared" si="80"/>
        <v>3760082.89</v>
      </c>
      <c r="DJ125" s="73">
        <f t="shared" si="81"/>
        <v>353177.88</v>
      </c>
      <c r="DK125" s="73">
        <f t="shared" si="82"/>
        <v>9665.2099999999991</v>
      </c>
      <c r="DL125" s="73">
        <f t="shared" si="83"/>
        <v>0</v>
      </c>
      <c r="DM125" s="73">
        <f t="shared" si="84"/>
        <v>0</v>
      </c>
      <c r="DN125" s="73">
        <f t="shared" si="85"/>
        <v>0</v>
      </c>
      <c r="DO125" s="73">
        <f t="shared" si="86"/>
        <v>0</v>
      </c>
      <c r="DP125" s="73"/>
      <c r="DQ125" s="73"/>
    </row>
    <row r="126" spans="1:121" ht="10.199999999999999" x14ac:dyDescent="0.2">
      <c r="A126" s="4" t="s">
        <v>595</v>
      </c>
      <c r="B126" s="188">
        <v>1076</v>
      </c>
      <c r="C126" s="189" t="s">
        <v>121</v>
      </c>
      <c r="D126" s="4">
        <v>2027</v>
      </c>
      <c r="E126" s="4" t="s">
        <v>434</v>
      </c>
      <c r="F126" s="4">
        <v>1</v>
      </c>
      <c r="G126" s="4" t="s">
        <v>675</v>
      </c>
      <c r="H126" s="4">
        <v>0</v>
      </c>
      <c r="I126" s="4" t="s">
        <v>849</v>
      </c>
      <c r="J126" s="5">
        <v>2346233.71</v>
      </c>
      <c r="K126" s="5">
        <v>225.54</v>
      </c>
      <c r="L126" s="5">
        <v>401.19</v>
      </c>
      <c r="M126" s="5">
        <v>0</v>
      </c>
      <c r="N126" s="5">
        <v>15845609</v>
      </c>
      <c r="O126" s="5">
        <v>0</v>
      </c>
      <c r="P126" s="5">
        <v>87.11</v>
      </c>
      <c r="Q126" s="5">
        <v>0</v>
      </c>
      <c r="R126" s="5">
        <v>0</v>
      </c>
      <c r="S126" s="5">
        <v>77557.66</v>
      </c>
      <c r="T126" s="5">
        <v>0</v>
      </c>
      <c r="U126" s="5">
        <v>0</v>
      </c>
      <c r="V126" s="5">
        <v>14857.73</v>
      </c>
      <c r="W126" s="5">
        <v>19864.649999999998</v>
      </c>
      <c r="X126" s="5">
        <v>21088.61</v>
      </c>
      <c r="Y126" s="5">
        <v>5</v>
      </c>
      <c r="Z126" s="5">
        <v>12</v>
      </c>
      <c r="AA126" s="5">
        <v>98</v>
      </c>
      <c r="AB126" s="5">
        <v>31</v>
      </c>
      <c r="AC126" s="5">
        <v>44</v>
      </c>
      <c r="AD126" s="5">
        <v>0</v>
      </c>
      <c r="AE126" s="5">
        <v>2</v>
      </c>
      <c r="AF126" s="5">
        <v>0</v>
      </c>
      <c r="AG126" s="5">
        <v>2</v>
      </c>
      <c r="AH126" s="5">
        <v>0.27900000000000003</v>
      </c>
      <c r="AI126" s="5">
        <v>0</v>
      </c>
      <c r="AJ126" s="5">
        <v>0</v>
      </c>
      <c r="AK126" s="5">
        <v>0</v>
      </c>
      <c r="AL126" s="5">
        <v>183.95</v>
      </c>
      <c r="AM126" s="5">
        <v>0</v>
      </c>
      <c r="AN126" s="5">
        <v>185</v>
      </c>
      <c r="AO126" s="5">
        <f t="shared" si="94"/>
        <v>0</v>
      </c>
      <c r="AP126" s="5">
        <f t="shared" si="104"/>
        <v>0</v>
      </c>
      <c r="AQ126" s="5">
        <v>2.88</v>
      </c>
      <c r="AR126" s="5">
        <v>0</v>
      </c>
      <c r="AS126" s="5">
        <v>0</v>
      </c>
      <c r="AT126" s="5">
        <v>82348</v>
      </c>
      <c r="AU126" s="5">
        <v>0</v>
      </c>
      <c r="AV126" s="5">
        <v>2076</v>
      </c>
      <c r="AW126" s="199">
        <v>401.19</v>
      </c>
      <c r="AX126" s="199">
        <v>2</v>
      </c>
      <c r="AY126" s="199">
        <v>0</v>
      </c>
      <c r="AZ126" s="199">
        <v>0</v>
      </c>
      <c r="BA126" s="5">
        <v>233657.41</v>
      </c>
      <c r="BB126" s="13">
        <v>737591.7</v>
      </c>
      <c r="BC126" s="190">
        <f>MAX(ROUND(IF(F126&lt;4,IF(H126=0,(SUM(Y126:AD126)*Worksheet!$E$26+Y126*Worksheet!$E$27+AR126*Worksheet!$E$39)*-BaseRate,0)),2),MIN(0,-DI126))</f>
        <v>-204391.81</v>
      </c>
      <c r="BD126" s="190">
        <f>MAX(ROUND(IF(F126=4,0,IF(I126=0,0,ROUND(SUM(Y126:AD126)*Worksheet!$E$28,2)*-BaseRate)),2),MIN(0,-DI126-BC126))</f>
        <v>-4420.54</v>
      </c>
      <c r="BE126" s="130">
        <f t="shared" si="87"/>
        <v>2514</v>
      </c>
      <c r="BF126" s="130">
        <f t="shared" si="88"/>
        <v>1405</v>
      </c>
      <c r="BG126" s="73"/>
      <c r="BH126" s="191">
        <f t="shared" si="89"/>
        <v>57953.36</v>
      </c>
      <c r="BI126" s="191">
        <f t="shared" si="90"/>
        <v>10402.74</v>
      </c>
      <c r="BJ126" s="232">
        <f>IFERROR(ROUND(IF(AND(BB126*1.12&lt;N126*60/1000,N126/CL126&lt;STVPP*0.2),(CL126*STVPP*0.2*Worksheet!$F$88/1000-BB126*1.12)*PropTaxAdj,IF(BB126*1.12&lt;N126*60/1000,(N126*60/1000-BB126*1.12)*PropTaxAdj,0)),2),0)</f>
        <v>99707.07</v>
      </c>
      <c r="BK126" s="192">
        <f>ROUND(IF($F126=4,0,Y126*Worksheet!$E$16),2)</f>
        <v>5</v>
      </c>
      <c r="BL126" s="192">
        <f>ROUND(IF($F126=4,0,Z126*Worksheet!$E$17),2)</f>
        <v>12</v>
      </c>
      <c r="BM126" s="192">
        <f>ROUND(IF($F126=4,0,AA126*Worksheet!$E$18),2)</f>
        <v>98</v>
      </c>
      <c r="BN126" s="192">
        <f>ROUND(IF($F126=4,0,AB126*Worksheet!$E$19),2)</f>
        <v>31</v>
      </c>
      <c r="BO126" s="192">
        <f>ROUND(IF($F126=4,0,AC126*Worksheet!$E$20),2)</f>
        <v>44</v>
      </c>
      <c r="BP126" s="192">
        <f>ROUND(AD126*Worksheet!$E$21,2)</f>
        <v>0</v>
      </c>
      <c r="BQ126" s="192">
        <f t="shared" si="76"/>
        <v>190</v>
      </c>
      <c r="BR126" s="192">
        <f>ROUND(AD126*Worksheet!$E$25,2)</f>
        <v>0</v>
      </c>
      <c r="BS126" s="192">
        <f>ROUND(SUM(BQ126)*Worksheet!$E$26,2)</f>
        <v>16.72</v>
      </c>
      <c r="BT126" s="192">
        <f>ROUND(Y126*Worksheet!$E$27,2)</f>
        <v>0.85</v>
      </c>
      <c r="BU126" s="192">
        <f>ROUND(AO126*Worksheet!$E$29,2)</f>
        <v>0</v>
      </c>
      <c r="BV126" s="192">
        <f>ROUND(AP126*Worksheet!$E$30,2)</f>
        <v>0</v>
      </c>
      <c r="BW126" s="192">
        <f>ROUND(IF($I126&lt;&gt;0,$BQ126*Worksheet!$E$28,0),2)</f>
        <v>0.38</v>
      </c>
      <c r="BX126" s="192">
        <f>ROUND(AE126*Worksheet!$E$31,2)</f>
        <v>0.8</v>
      </c>
      <c r="BY126" s="192">
        <f>ROUND(AF126*Worksheet!$E$32,2)</f>
        <v>0</v>
      </c>
      <c r="BZ126" s="192">
        <f>ROUND(AG126*Worksheet!$E$33,2)</f>
        <v>0.14000000000000001</v>
      </c>
      <c r="CA126" s="192">
        <f>ROUND(ROUND(AH126*BQ126,2)*Worksheet!$E$34,2)</f>
        <v>1.33</v>
      </c>
      <c r="CB126" s="192">
        <f>ROUND(AI126*Worksheet!$E$35,2)</f>
        <v>0</v>
      </c>
      <c r="CC126" s="192">
        <f>ROUND(AJ126*Worksheet!$E$36,2)</f>
        <v>0</v>
      </c>
      <c r="CD126" s="192">
        <f>ROUND(AQ126*Worksheet!$E$38,2)</f>
        <v>1.73</v>
      </c>
      <c r="CE126" s="192">
        <f>ROUND(AR126*Worksheet!$E$39,2)</f>
        <v>0</v>
      </c>
      <c r="CF126" s="192">
        <f>IF(AND(L126&gt;275,SUM(Y126:AD126)&lt;100),ROUND(SUM(Y126:AD126)*Worksheet!$E$41,2),0)</f>
        <v>0</v>
      </c>
      <c r="CG126" s="192">
        <f>IF(AND(L126&gt;600,SUM(Y126:AD126)&lt;50),ROUND((50-SUM(Y126:AD126))*(Worksheet!$E$41+1),2),0)</f>
        <v>0</v>
      </c>
      <c r="CH126" s="192">
        <f t="shared" si="77"/>
        <v>211.95</v>
      </c>
      <c r="CI126" s="116">
        <f t="shared" si="95"/>
        <v>0</v>
      </c>
      <c r="CJ126" s="116">
        <f t="shared" si="96"/>
        <v>211.95</v>
      </c>
      <c r="CK126" s="95">
        <f t="shared" si="91"/>
        <v>1.29</v>
      </c>
      <c r="CL126" s="116">
        <f t="shared" si="97"/>
        <v>273.42</v>
      </c>
      <c r="CM126" s="116">
        <f t="shared" si="98"/>
        <v>273.42</v>
      </c>
      <c r="CN126" s="116">
        <f t="shared" si="92"/>
        <v>3180694.86</v>
      </c>
      <c r="CO126" s="131">
        <f>ROUND(IF(F126=4,0,(MAX(ROUND(MAX((BI126*MIN(CL126,K126)*Worksheet!$D$126)+MAX(CL126-K126,0)*Worksheet!$F$50,SUM(J126)),2),SUM(CN126))-SUM(CN126))*MinAdj),2)</f>
        <v>0</v>
      </c>
      <c r="CP126" s="192">
        <f t="shared" si="93"/>
        <v>3180694.86</v>
      </c>
      <c r="CQ126" s="131">
        <f>IF(CL126=0,0,-MIN(CP126,MIN(CP126,ROUND(IF(ROUND(IF(CL126=0,0,N126/CL126),2)&lt;STVPP*0.2,STVPP*0.2*CL126*Worksheet!$F$88/1000,N126*Worksheet!$F$88/1000),2))))</f>
        <v>-950736.54</v>
      </c>
      <c r="CR126" s="193">
        <f>-MIN(SUM(CP126,CQ126),IF($P126=0,(ROUND(Worksheet!$E$77*S126,2)+ROUND(Worksheet!$E$78*T126,2)+ROUND(Worksheet!$E$79*U126,2)+ROUND(Worksheet!$E$80*V126,2)+ROUND(Worksheet!$E$81*W126,2)+ROUND(Worksheet!$E$82*X126,2)),(ROUND(ROUND(S126*ROUND((1-$O126/$P126),4),2)*Worksheet!$E$77,2)+ROUND(ROUND(T126*ROUND((1-$O126/$P126),4),2)*Worksheet!$E$78,2)+ROUND(ROUND(U126*ROUND((1-$O126/$P126),4),2)*Worksheet!$E$79,2)+ROUND(ROUND(V126*ROUND((1-$O126/$P126),4),2)*Worksheet!$E$80,2)+ROUND(ROUND(W126*ROUND((1-$O126/$P126),4),2)*Worksheet!$E$81,2)+ROUND(ROUND(X126*ROUND((1-$O126/$P126),4),2)*Worksheet!$E$82,2))))</f>
        <v>-100026.5</v>
      </c>
      <c r="CS126" s="192">
        <f t="shared" si="78"/>
        <v>2129931.8199999998</v>
      </c>
      <c r="CT126" s="116">
        <f>ROUND(MIN(BA126,ROUND((ROUND(AS126*Worksheet!$E$104,2)+ROUND(AV126*Worksheet!$E$107,2)+ROUND(AT126*Worksheet!$E$105,2)+ROUND(AW126*Worksheet!$E$108,2)+ROUND(AU126*Worksheet!$E$106,2)+ROUND(AX126*Worksheet!$E$109,2)+ROUND(AY126*Worksheet!$E$110,2)+ROUND(AZ126*Worksheet!$E$111,2))*Worksheet!$D$114,2))*BaseRate,2)</f>
        <v>127148.69</v>
      </c>
      <c r="CU126" s="121">
        <v>0</v>
      </c>
      <c r="CV126" s="121">
        <v>0</v>
      </c>
      <c r="CW126" s="121">
        <v>0</v>
      </c>
      <c r="CX126" s="121">
        <v>0</v>
      </c>
      <c r="CY126" s="121">
        <v>0</v>
      </c>
      <c r="DA126" s="192">
        <f t="shared" si="79"/>
        <v>0</v>
      </c>
      <c r="DB126" s="192">
        <f>MAX(-CT126,MIN(0,ROUND($R126*EFBPercent+EFBAdd,2)-$Q126),MIN(0,SUM($CS126:CS126)+MIN(0,ROUND($R126*EFBPercent+EFBAdd,2)-$Q126)))</f>
        <v>0</v>
      </c>
      <c r="DC126" s="192">
        <f>IF(CU126&lt;0,0,MAX(-CU126,MIN(0,ROUND($R126*EFBPercent+EFBAdd,2)-$Q126),MIN(0,SUM($CS126:CT126)+MIN(0,ROUND($R126*EFBPercent+EFBAdd,2)-$Q126))))</f>
        <v>0</v>
      </c>
      <c r="DD126" s="192">
        <f>IF(CV126&lt;0,0,MAX(-CV126,MIN(0,ROUND($R126*EFBPercent+EFBAdd,2)-$Q126),MIN(0,SUM($CS126:CU126)+MIN(0,ROUND($R126*EFBPercent+EFBAdd,2)-$Q126))))</f>
        <v>0</v>
      </c>
      <c r="DE126" s="192">
        <f>IF(CW126&lt;0,0,MAX(-CW126,MIN(0,ROUND($R126*EFBPercent+EFBAdd,2)-$Q126),MIN(0,SUM($CS126:CV126)+MIN(0,ROUND($R126*EFBPercent+EFBAdd,2)-$Q126))))</f>
        <v>0</v>
      </c>
      <c r="DF126" s="192">
        <f>IF(CX126&lt;0,0,MAX(-CX126,MIN(0,ROUND($R126*EFBPercent+EFBAdd,2)-$Q126),MIN(0,SUM($CS126:CW126)+MIN(0,ROUND($R126*EFBPercent+EFBAdd,2)-$Q126))))</f>
        <v>0</v>
      </c>
      <c r="DG126" s="192">
        <f>MAX(-CY126,MIN(0,ROUND($R126*EFBPercent+EFBAdd,2)-$Q126),MIN(0,SUM($CS126:CX126)+MIN(0,ROUND($R126*EFBPercent+EFBAdd,2)-$Q126)))</f>
        <v>0</v>
      </c>
      <c r="DI126" s="73">
        <f t="shared" si="80"/>
        <v>2129931.8199999998</v>
      </c>
      <c r="DJ126" s="73">
        <f t="shared" si="81"/>
        <v>127148.69</v>
      </c>
      <c r="DK126" s="73">
        <f t="shared" si="82"/>
        <v>0</v>
      </c>
      <c r="DL126" s="73">
        <f t="shared" si="83"/>
        <v>0</v>
      </c>
      <c r="DM126" s="73">
        <f t="shared" si="84"/>
        <v>0</v>
      </c>
      <c r="DN126" s="73">
        <f t="shared" si="85"/>
        <v>0</v>
      </c>
      <c r="DO126" s="73">
        <f t="shared" si="86"/>
        <v>0</v>
      </c>
      <c r="DP126" s="73"/>
      <c r="DQ126" s="73"/>
    </row>
    <row r="127" spans="1:121" ht="10.199999999999999" x14ac:dyDescent="0.2">
      <c r="A127" s="4" t="s">
        <v>596</v>
      </c>
      <c r="B127" s="188">
        <v>1020</v>
      </c>
      <c r="C127" s="197" t="s">
        <v>885</v>
      </c>
      <c r="D127" s="4">
        <v>2027</v>
      </c>
      <c r="E127" s="4" t="s">
        <v>435</v>
      </c>
      <c r="F127" s="4">
        <v>1</v>
      </c>
      <c r="G127" s="4" t="s">
        <v>671</v>
      </c>
      <c r="H127" s="4">
        <v>0</v>
      </c>
      <c r="I127" s="4" t="s">
        <v>1091</v>
      </c>
      <c r="J127" s="5">
        <v>3107408.11</v>
      </c>
      <c r="K127" s="5">
        <v>288.08999999999997</v>
      </c>
      <c r="L127" s="5">
        <v>539</v>
      </c>
      <c r="M127" s="5">
        <v>0</v>
      </c>
      <c r="N127" s="5">
        <v>14582255</v>
      </c>
      <c r="O127" s="5">
        <v>0</v>
      </c>
      <c r="P127" s="5">
        <v>94.82</v>
      </c>
      <c r="Q127" s="5">
        <v>0</v>
      </c>
      <c r="R127" s="5">
        <v>0</v>
      </c>
      <c r="S127" s="5">
        <v>0</v>
      </c>
      <c r="T127" s="5">
        <v>194112.99</v>
      </c>
      <c r="U127" s="5">
        <v>0</v>
      </c>
      <c r="V127" s="5">
        <v>66207.23</v>
      </c>
      <c r="W127" s="5">
        <v>11205.050000000001</v>
      </c>
      <c r="X127" s="5">
        <v>18776.649999999998</v>
      </c>
      <c r="Y127" s="5">
        <v>4.82</v>
      </c>
      <c r="Z127" s="5">
        <v>15</v>
      </c>
      <c r="AA127" s="5">
        <v>114</v>
      </c>
      <c r="AB127" s="5">
        <v>41</v>
      </c>
      <c r="AC127" s="5">
        <v>64</v>
      </c>
      <c r="AD127" s="5">
        <v>0</v>
      </c>
      <c r="AE127" s="5">
        <v>0</v>
      </c>
      <c r="AF127" s="5">
        <v>0</v>
      </c>
      <c r="AG127" s="5">
        <v>1</v>
      </c>
      <c r="AH127" s="5">
        <v>0.36</v>
      </c>
      <c r="AI127" s="5">
        <v>0</v>
      </c>
      <c r="AJ127" s="5">
        <v>0</v>
      </c>
      <c r="AK127" s="5">
        <v>0</v>
      </c>
      <c r="AL127" s="5">
        <v>236</v>
      </c>
      <c r="AM127" s="5">
        <v>0</v>
      </c>
      <c r="AN127" s="5">
        <v>234</v>
      </c>
      <c r="AO127" s="5">
        <f t="shared" si="94"/>
        <v>2</v>
      </c>
      <c r="AP127" s="5">
        <f t="shared" si="104"/>
        <v>0</v>
      </c>
      <c r="AQ127" s="5">
        <v>0</v>
      </c>
      <c r="AR127" s="5">
        <v>0</v>
      </c>
      <c r="AS127" s="5">
        <v>17680</v>
      </c>
      <c r="AT127" s="5">
        <v>111412</v>
      </c>
      <c r="AU127" s="5">
        <v>340</v>
      </c>
      <c r="AV127" s="5">
        <v>1730</v>
      </c>
      <c r="AW127" s="199">
        <v>539</v>
      </c>
      <c r="AX127" s="199">
        <v>1</v>
      </c>
      <c r="AY127" s="199">
        <v>0</v>
      </c>
      <c r="AZ127" s="199">
        <v>0</v>
      </c>
      <c r="BA127" s="5">
        <v>264401.03999999998</v>
      </c>
      <c r="BB127" s="13">
        <v>856951.74</v>
      </c>
      <c r="BC127" s="190">
        <f>MAX(ROUND(IF(F127&lt;4,IF(H127=0,(SUM(Y127:AD127)*Worksheet!$E$26+Y127*Worksheet!$E$27+AR127*Worksheet!$E$39)*-BaseRate,0)),2),MIN(0,-DI127))</f>
        <v>-254013.07</v>
      </c>
      <c r="BD127" s="190">
        <f>MAX(ROUND(IF(F127=4,0,IF(I127=0,0,ROUND(SUM(Y127:AD127)*Worksheet!$E$28,2)*-BaseRate)),2),MIN(0,-DI127-BC127))</f>
        <v>-5583.84</v>
      </c>
      <c r="BE127" s="130">
        <f t="shared" si="87"/>
        <v>2518</v>
      </c>
      <c r="BF127" s="130">
        <f t="shared" si="88"/>
        <v>1403</v>
      </c>
      <c r="BG127" s="73"/>
      <c r="BH127" s="191">
        <f t="shared" si="89"/>
        <v>45043.11</v>
      </c>
      <c r="BI127" s="191">
        <f t="shared" si="90"/>
        <v>10786.24</v>
      </c>
      <c r="BJ127" s="232">
        <f>IFERROR(ROUND(IF(AND(BB127*1.12&lt;N127*60/1000,N127/CL127&lt;STVPP*0.2),(CL127*STVPP*0.2*Worksheet!$F$88/1000-BB127*1.12)*PropTaxAdj,IF(BB127*1.12&lt;N127*60/1000,(N127*60/1000-BB127*1.12)*PropTaxAdj,0)),2),0)</f>
        <v>0</v>
      </c>
      <c r="BK127" s="192">
        <f>ROUND(IF($F127=4,0,Y127*Worksheet!$E$16),2)</f>
        <v>4.82</v>
      </c>
      <c r="BL127" s="192">
        <f>ROUND(IF($F127=4,0,Z127*Worksheet!$E$17),2)</f>
        <v>15</v>
      </c>
      <c r="BM127" s="192">
        <f>ROUND(IF($F127=4,0,AA127*Worksheet!$E$18),2)</f>
        <v>114</v>
      </c>
      <c r="BN127" s="192">
        <f>ROUND(IF($F127=4,0,AB127*Worksheet!$E$19),2)</f>
        <v>41</v>
      </c>
      <c r="BO127" s="192">
        <f>ROUND(IF($F127=4,0,AC127*Worksheet!$E$20),2)</f>
        <v>64</v>
      </c>
      <c r="BP127" s="192">
        <f>ROUND(AD127*Worksheet!$E$21,2)</f>
        <v>0</v>
      </c>
      <c r="BQ127" s="192">
        <f t="shared" si="76"/>
        <v>238.82</v>
      </c>
      <c r="BR127" s="192">
        <f>ROUND(AD127*Worksheet!$E$25,2)</f>
        <v>0</v>
      </c>
      <c r="BS127" s="192">
        <f>ROUND(SUM(BQ127)*Worksheet!$E$26,2)</f>
        <v>21.02</v>
      </c>
      <c r="BT127" s="192">
        <f>ROUND(Y127*Worksheet!$E$27,2)</f>
        <v>0.82</v>
      </c>
      <c r="BU127" s="192">
        <f>ROUND(AO127*Worksheet!$E$29,2)</f>
        <v>2</v>
      </c>
      <c r="BV127" s="192">
        <f>ROUND(AP127*Worksheet!$E$30,2)</f>
        <v>0</v>
      </c>
      <c r="BW127" s="192">
        <f>ROUND(IF($I127&lt;&gt;0,$BQ127*Worksheet!$E$28,0),2)</f>
        <v>0.48</v>
      </c>
      <c r="BX127" s="192">
        <f>ROUND(AE127*Worksheet!$E$31,2)</f>
        <v>0</v>
      </c>
      <c r="BY127" s="192">
        <f>ROUND(AF127*Worksheet!$E$32,2)</f>
        <v>0</v>
      </c>
      <c r="BZ127" s="192">
        <f>ROUND(AG127*Worksheet!$E$33,2)</f>
        <v>7.0000000000000007E-2</v>
      </c>
      <c r="CA127" s="192">
        <f>ROUND(ROUND(AH127*BQ127,2)*Worksheet!$E$34,2)</f>
        <v>2.15</v>
      </c>
      <c r="CB127" s="192">
        <f>ROUND(AI127*Worksheet!$E$35,2)</f>
        <v>0</v>
      </c>
      <c r="CC127" s="192">
        <f>ROUND(AJ127*Worksheet!$E$36,2)</f>
        <v>0</v>
      </c>
      <c r="CD127" s="192">
        <f>ROUND(AQ127*Worksheet!$E$38,2)</f>
        <v>0</v>
      </c>
      <c r="CE127" s="192">
        <f>ROUND(AR127*Worksheet!$E$39,2)</f>
        <v>0</v>
      </c>
      <c r="CF127" s="192">
        <f>IF(AND(L127&gt;275,SUM(Y127:AD127)&lt;100),ROUND(SUM(Y127:AD127)*Worksheet!$E$41,2),0)</f>
        <v>0</v>
      </c>
      <c r="CG127" s="192">
        <f>IF(AND(L127&gt;600,SUM(Y127:AD127)&lt;50),ROUND((50-SUM(Y127:AD127))*(Worksheet!$E$41+1),2),0)</f>
        <v>0</v>
      </c>
      <c r="CH127" s="192">
        <f t="shared" si="77"/>
        <v>265.35999999999996</v>
      </c>
      <c r="CI127" s="116">
        <f t="shared" si="95"/>
        <v>0</v>
      </c>
      <c r="CJ127" s="116">
        <f t="shared" si="96"/>
        <v>265.35999999999996</v>
      </c>
      <c r="CK127" s="95">
        <f t="shared" si="91"/>
        <v>1.22</v>
      </c>
      <c r="CL127" s="116">
        <f t="shared" si="97"/>
        <v>323.74</v>
      </c>
      <c r="CM127" s="116">
        <f t="shared" si="98"/>
        <v>323.74</v>
      </c>
      <c r="CN127" s="116">
        <f t="shared" si="92"/>
        <v>3766067.42</v>
      </c>
      <c r="CO127" s="131">
        <f>ROUND(IF(F127=4,0,(MAX(ROUND(MAX((BI127*MIN(CL127,K127)*Worksheet!$D$126)+MAX(CL127-K127,0)*Worksheet!$F$50,SUM(J127)),2),SUM(CN127))-SUM(CN127))*MinAdj),2)</f>
        <v>0</v>
      </c>
      <c r="CP127" s="192">
        <f t="shared" si="93"/>
        <v>3766067.42</v>
      </c>
      <c r="CQ127" s="131">
        <f>IF(CL127=0,0,-MIN(CP127,MIN(CP127,ROUND(IF(ROUND(IF(CL127=0,0,N127/CL127),2)&lt;STVPP*0.2,STVPP*0.2*CL127*Worksheet!$F$88/1000,N127*Worksheet!$F$88/1000),2))))</f>
        <v>-874935.3</v>
      </c>
      <c r="CR127" s="193">
        <f>-MIN(SUM(CP127,CQ127),IF($P127=0,(ROUND(Worksheet!$E$77*S127,2)+ROUND(Worksheet!$E$78*T127,2)+ROUND(Worksheet!$E$79*U127,2)+ROUND(Worksheet!$E$80*V127,2)+ROUND(Worksheet!$E$81*W127,2)+ROUND(Worksheet!$E$82*X127,2)),(ROUND(ROUND(S127*ROUND((1-$O127/$P127),4),2)*Worksheet!$E$77,2)+ROUND(ROUND(T127*ROUND((1-$O127/$P127),4),2)*Worksheet!$E$78,2)+ROUND(ROUND(U127*ROUND((1-$O127/$P127),4),2)*Worksheet!$E$79,2)+ROUND(ROUND(V127*ROUND((1-$O127/$P127),4),2)*Worksheet!$E$80,2)+ROUND(ROUND(W127*ROUND((1-$O127/$P127),4),2)*Worksheet!$E$81,2)+ROUND(ROUND(X127*ROUND((1-$O127/$P127),4),2)*Worksheet!$E$82,2))))</f>
        <v>-217726.43999999997</v>
      </c>
      <c r="CS127" s="192">
        <f t="shared" si="78"/>
        <v>2673405.6800000002</v>
      </c>
      <c r="CT127" s="116">
        <f>ROUND(MIN(BA127,ROUND((ROUND(AS127*Worksheet!$E$104,2)+ROUND(AV127*Worksheet!$E$107,2)+ROUND(AT127*Worksheet!$E$105,2)+ROUND(AW127*Worksheet!$E$108,2)+ROUND(AU127*Worksheet!$E$106,2)+ROUND(AX127*Worksheet!$E$109,2)+ROUND(AY127*Worksheet!$E$110,2)+ROUND(AZ127*Worksheet!$E$111,2))*Worksheet!$D$114,2))*BaseRate,2)</f>
        <v>168445.84</v>
      </c>
      <c r="CU127" s="121">
        <v>0</v>
      </c>
      <c r="CV127" s="121">
        <v>0</v>
      </c>
      <c r="CW127" s="121">
        <v>0</v>
      </c>
      <c r="CX127" s="121">
        <v>0</v>
      </c>
      <c r="CY127" s="121">
        <v>0</v>
      </c>
      <c r="DA127" s="192">
        <f t="shared" si="79"/>
        <v>0</v>
      </c>
      <c r="DB127" s="192">
        <f>MAX(-CT127,MIN(0,ROUND($R127*EFBPercent+EFBAdd,2)-$Q127),MIN(0,SUM($CS127:CS127)+MIN(0,ROUND($R127*EFBPercent+EFBAdd,2)-$Q127)))</f>
        <v>0</v>
      </c>
      <c r="DC127" s="192">
        <f>IF(CU127&lt;0,0,MAX(-CU127,MIN(0,ROUND($R127*EFBPercent+EFBAdd,2)-$Q127),MIN(0,SUM($CS127:CT127)+MIN(0,ROUND($R127*EFBPercent+EFBAdd,2)-$Q127))))</f>
        <v>0</v>
      </c>
      <c r="DD127" s="192">
        <f>IF(CV127&lt;0,0,MAX(-CV127,MIN(0,ROUND($R127*EFBPercent+EFBAdd,2)-$Q127),MIN(0,SUM($CS127:CU127)+MIN(0,ROUND($R127*EFBPercent+EFBAdd,2)-$Q127))))</f>
        <v>0</v>
      </c>
      <c r="DE127" s="192">
        <f>IF(CW127&lt;0,0,MAX(-CW127,MIN(0,ROUND($R127*EFBPercent+EFBAdd,2)-$Q127),MIN(0,SUM($CS127:CV127)+MIN(0,ROUND($R127*EFBPercent+EFBAdd,2)-$Q127))))</f>
        <v>0</v>
      </c>
      <c r="DF127" s="192">
        <f>IF(CX127&lt;0,0,MAX(-CX127,MIN(0,ROUND($R127*EFBPercent+EFBAdd,2)-$Q127),MIN(0,SUM($CS127:CW127)+MIN(0,ROUND($R127*EFBPercent+EFBAdd,2)-$Q127))))</f>
        <v>0</v>
      </c>
      <c r="DG127" s="192">
        <f>MAX(-CY127,MIN(0,ROUND($R127*EFBPercent+EFBAdd,2)-$Q127),MIN(0,SUM($CS127:CX127)+MIN(0,ROUND($R127*EFBPercent+EFBAdd,2)-$Q127)))</f>
        <v>0</v>
      </c>
      <c r="DI127" s="73">
        <f t="shared" si="80"/>
        <v>2673405.6800000002</v>
      </c>
      <c r="DJ127" s="73">
        <f t="shared" si="81"/>
        <v>168445.84</v>
      </c>
      <c r="DK127" s="73">
        <f t="shared" si="82"/>
        <v>0</v>
      </c>
      <c r="DL127" s="73">
        <f t="shared" si="83"/>
        <v>0</v>
      </c>
      <c r="DM127" s="73">
        <f t="shared" si="84"/>
        <v>0</v>
      </c>
      <c r="DN127" s="73">
        <f t="shared" si="85"/>
        <v>0</v>
      </c>
      <c r="DO127" s="73">
        <f t="shared" si="86"/>
        <v>0</v>
      </c>
      <c r="DP127" s="73"/>
      <c r="DQ127" s="73"/>
    </row>
    <row r="128" spans="1:121" ht="10.199999999999999" x14ac:dyDescent="0.2">
      <c r="A128" s="4" t="s">
        <v>597</v>
      </c>
      <c r="B128" s="188">
        <v>1019</v>
      </c>
      <c r="C128" s="189" t="s">
        <v>122</v>
      </c>
      <c r="D128" s="4">
        <v>2027</v>
      </c>
      <c r="E128" s="4" t="s">
        <v>436</v>
      </c>
      <c r="F128" s="4">
        <v>1</v>
      </c>
      <c r="G128" s="4" t="s">
        <v>683</v>
      </c>
      <c r="H128" s="4">
        <v>100</v>
      </c>
      <c r="I128" s="4" t="s">
        <v>854</v>
      </c>
      <c r="J128" s="5">
        <v>4411021.6900000004</v>
      </c>
      <c r="K128" s="5">
        <v>454.97</v>
      </c>
      <c r="L128" s="5">
        <v>338.93</v>
      </c>
      <c r="M128" s="5">
        <v>0</v>
      </c>
      <c r="N128" s="5">
        <v>18071846</v>
      </c>
      <c r="O128" s="5">
        <v>8.5399999999999991</v>
      </c>
      <c r="P128" s="5">
        <v>102.86000000000001</v>
      </c>
      <c r="Q128" s="5">
        <v>0</v>
      </c>
      <c r="R128" s="5">
        <v>0</v>
      </c>
      <c r="S128" s="5">
        <v>6750</v>
      </c>
      <c r="T128" s="5">
        <v>0</v>
      </c>
      <c r="U128" s="5">
        <v>0</v>
      </c>
      <c r="V128" s="5">
        <v>20096.34</v>
      </c>
      <c r="W128" s="5">
        <v>2353.19</v>
      </c>
      <c r="X128" s="5">
        <v>31227.98</v>
      </c>
      <c r="Y128" s="5">
        <v>0.27</v>
      </c>
      <c r="Z128" s="5">
        <v>23</v>
      </c>
      <c r="AA128" s="5">
        <v>179</v>
      </c>
      <c r="AB128" s="5">
        <v>62</v>
      </c>
      <c r="AC128" s="5">
        <v>105</v>
      </c>
      <c r="AD128" s="5">
        <v>0</v>
      </c>
      <c r="AE128" s="5">
        <v>0</v>
      </c>
      <c r="AF128" s="5">
        <v>0</v>
      </c>
      <c r="AG128" s="5">
        <v>0</v>
      </c>
      <c r="AH128" s="5">
        <v>0.24199999999999999</v>
      </c>
      <c r="AI128" s="5">
        <v>0</v>
      </c>
      <c r="AJ128" s="5">
        <v>0</v>
      </c>
      <c r="AK128" s="5">
        <v>9.57</v>
      </c>
      <c r="AL128" s="5">
        <v>370.75</v>
      </c>
      <c r="AM128" s="5">
        <v>10.670000000000016</v>
      </c>
      <c r="AN128" s="5">
        <v>369</v>
      </c>
      <c r="AO128" s="5">
        <f t="shared" si="94"/>
        <v>1.75</v>
      </c>
      <c r="AP128" s="5">
        <f t="shared" si="104"/>
        <v>0</v>
      </c>
      <c r="AQ128" s="5">
        <v>1.95</v>
      </c>
      <c r="AR128" s="5">
        <v>0.01</v>
      </c>
      <c r="AS128" s="5">
        <v>1032</v>
      </c>
      <c r="AT128" s="5">
        <v>84968</v>
      </c>
      <c r="AU128" s="5">
        <v>344</v>
      </c>
      <c r="AV128" s="5">
        <v>1376</v>
      </c>
      <c r="AW128" s="5">
        <v>338.93</v>
      </c>
      <c r="AX128" s="5">
        <v>1</v>
      </c>
      <c r="AY128" s="199">
        <v>0</v>
      </c>
      <c r="AZ128" s="199">
        <v>0</v>
      </c>
      <c r="BA128" s="5">
        <v>208457.48</v>
      </c>
      <c r="BB128" s="13">
        <v>1064607.6000000001</v>
      </c>
      <c r="BC128" s="190">
        <f>MAX(ROUND(IF(F128&lt;4,IF(H128=0,(SUM(Y128:AD128)*Worksheet!$E$26+Y128*Worksheet!$E$27+AR128*Worksheet!$E$39)*-BaseRate,0)),2),MIN(0,-DI128))</f>
        <v>0</v>
      </c>
      <c r="BD128" s="190">
        <f>MAX(ROUND(IF(F128=4,0,IF(I128=0,0,ROUND(SUM(Y128:AD128)*Worksheet!$E$28,2)*-BaseRate)),2),MIN(0,-DI128-BC128))</f>
        <v>-8608.42</v>
      </c>
      <c r="BE128" s="130">
        <f t="shared" si="87"/>
        <v>0</v>
      </c>
      <c r="BF128" s="130">
        <f t="shared" si="88"/>
        <v>1406</v>
      </c>
      <c r="BG128" s="73"/>
      <c r="BH128" s="191">
        <f t="shared" si="89"/>
        <v>42820.22</v>
      </c>
      <c r="BI128" s="191">
        <f t="shared" si="90"/>
        <v>9695.19</v>
      </c>
      <c r="BJ128" s="232">
        <f>IFERROR(ROUND(IF(AND(BB128*1.12&lt;N128*60/1000,N128/CL128&lt;STVPP*0.2),(CL128*STVPP*0.2*Worksheet!$F$88/1000-BB128*1.12)*PropTaxAdj,IF(BB128*1.12&lt;N128*60/1000,(N128*60/1000-BB128*1.12)*PropTaxAdj,0)),2),0)</f>
        <v>0</v>
      </c>
      <c r="BK128" s="192">
        <f>ROUND(IF($F128=4,0,Y128*Worksheet!$E$16),2)</f>
        <v>0.27</v>
      </c>
      <c r="BL128" s="192">
        <f>ROUND(IF($F128=4,0,Z128*Worksheet!$E$17),2)</f>
        <v>23</v>
      </c>
      <c r="BM128" s="192">
        <f>ROUND(IF($F128=4,0,AA128*Worksheet!$E$18),2)</f>
        <v>179</v>
      </c>
      <c r="BN128" s="192">
        <f>ROUND(IF($F128=4,0,AB128*Worksheet!$E$19),2)</f>
        <v>62</v>
      </c>
      <c r="BO128" s="192">
        <f>ROUND(IF($F128=4,0,AC128*Worksheet!$E$20),2)</f>
        <v>105</v>
      </c>
      <c r="BP128" s="192">
        <f>ROUND(AD128*Worksheet!$E$21,2)</f>
        <v>0</v>
      </c>
      <c r="BQ128" s="192">
        <f t="shared" si="76"/>
        <v>369.27</v>
      </c>
      <c r="BR128" s="192">
        <f>ROUND(AD128*Worksheet!$E$25,2)</f>
        <v>0</v>
      </c>
      <c r="BS128" s="192">
        <f>ROUND(SUM(BQ128)*Worksheet!$E$26,2)</f>
        <v>32.5</v>
      </c>
      <c r="BT128" s="192">
        <f>ROUND(Y128*Worksheet!$E$27,2)</f>
        <v>0.05</v>
      </c>
      <c r="BU128" s="192">
        <f>ROUND(AO128*Worksheet!$E$29,2)</f>
        <v>1.75</v>
      </c>
      <c r="BV128" s="192">
        <f>ROUND(AP128*Worksheet!$E$30,2)</f>
        <v>0</v>
      </c>
      <c r="BW128" s="192">
        <f>ROUND(IF($I128&lt;&gt;0,$BQ128*Worksheet!$E$28,0),2)</f>
        <v>0.74</v>
      </c>
      <c r="BX128" s="192">
        <f>ROUND(AE128*Worksheet!$E$31,2)</f>
        <v>0</v>
      </c>
      <c r="BY128" s="192">
        <f>ROUND(AF128*Worksheet!$E$32,2)</f>
        <v>0</v>
      </c>
      <c r="BZ128" s="192">
        <f>ROUND(AG128*Worksheet!$E$33,2)</f>
        <v>0</v>
      </c>
      <c r="CA128" s="192">
        <f>ROUND(ROUND(AH128*BQ128,2)*Worksheet!$E$34,2)</f>
        <v>2.23</v>
      </c>
      <c r="CB128" s="192">
        <f>ROUND(AI128*Worksheet!$E$35,2)</f>
        <v>0</v>
      </c>
      <c r="CC128" s="192">
        <f>ROUND(AJ128*Worksheet!$E$36,2)</f>
        <v>0</v>
      </c>
      <c r="CD128" s="192">
        <f>ROUND(AQ128*Worksheet!$E$38,2)</f>
        <v>1.17</v>
      </c>
      <c r="CE128" s="192">
        <f>ROUND(AR128*Worksheet!$E$39,2)</f>
        <v>0.01</v>
      </c>
      <c r="CF128" s="192">
        <f>IF(AND(L128&gt;275,SUM(Y128:AD128)&lt;100),ROUND(SUM(Y128:AD128)*Worksheet!$E$41,2),0)</f>
        <v>0</v>
      </c>
      <c r="CG128" s="192">
        <f>IF(AND(L128&gt;600,SUM(Y128:AD128)&lt;50),ROUND((50-SUM(Y128:AD128))*(Worksheet!$E$41+1),2),0)</f>
        <v>0</v>
      </c>
      <c r="CH128" s="192">
        <f t="shared" si="77"/>
        <v>407.72</v>
      </c>
      <c r="CI128" s="116">
        <f t="shared" si="95"/>
        <v>9.57</v>
      </c>
      <c r="CJ128" s="116">
        <f t="shared" si="96"/>
        <v>398.15000000000003</v>
      </c>
      <c r="CK128" s="95">
        <f t="shared" si="91"/>
        <v>1.06</v>
      </c>
      <c r="CL128" s="116">
        <f t="shared" si="97"/>
        <v>422.04</v>
      </c>
      <c r="CM128" s="116">
        <f t="shared" si="98"/>
        <v>431.61</v>
      </c>
      <c r="CN128" s="116">
        <f t="shared" si="92"/>
        <v>5020919.13</v>
      </c>
      <c r="CO128" s="131">
        <f>ROUND(IF(F128=4,0,(MAX(ROUND(MAX((BI128*MIN(CL128,K128)*Worksheet!$D$126)+MAX(CL128-K128,0)*Worksheet!$F$50,SUM(J128)),2),SUM(CN128))-SUM(CN128))*MinAdj),2)</f>
        <v>0</v>
      </c>
      <c r="CP128" s="192">
        <f t="shared" si="93"/>
        <v>5020919.13</v>
      </c>
      <c r="CQ128" s="131">
        <f>IF(CL128=0,0,-MIN(CP128,MIN(CP128,ROUND(IF(ROUND(IF(CL128=0,0,N128/CL128),2)&lt;STVPP*0.2,STVPP*0.2*CL128*Worksheet!$F$88/1000,N128*Worksheet!$F$88/1000),2))))</f>
        <v>-1084310.76</v>
      </c>
      <c r="CR128" s="193">
        <f>-MIN(SUM(CP128,CQ128),IF($P128=0,(ROUND(Worksheet!$E$77*S128,2)+ROUND(Worksheet!$E$78*T128,2)+ROUND(Worksheet!$E$79*U128,2)+ROUND(Worksheet!$E$80*V128,2)+ROUND(Worksheet!$E$81*W128,2)+ROUND(Worksheet!$E$82*X128,2)),(ROUND(ROUND(S128*ROUND((1-$O128/$P128),4),2)*Worksheet!$E$77,2)+ROUND(ROUND(T128*ROUND((1-$O128/$P128),4),2)*Worksheet!$E$78,2)+ROUND(ROUND(U128*ROUND((1-$O128/$P128),4),2)*Worksheet!$E$79,2)+ROUND(ROUND(V128*ROUND((1-$O128/$P128),4),2)*Worksheet!$E$80,2)+ROUND(ROUND(W128*ROUND((1-$O128/$P128),4),2)*Worksheet!$E$81,2)+ROUND(ROUND(X128*ROUND((1-$O128/$P128),4),2)*Worksheet!$E$82,2))))</f>
        <v>-41559.03</v>
      </c>
      <c r="CS128" s="192">
        <f t="shared" si="78"/>
        <v>3895049.3400000003</v>
      </c>
      <c r="CT128" s="116">
        <f>ROUND(MIN(BA128,ROUND((ROUND(AS128*Worksheet!$E$104,2)+ROUND(AV128*Worksheet!$E$107,2)+ROUND(AT128*Worksheet!$E$105,2)+ROUND(AW128*Worksheet!$E$108,2)+ROUND(AU128*Worksheet!$E$106,2)+ROUND(AX128*Worksheet!$E$109,2)+ROUND(AY128*Worksheet!$E$110,2)+ROUND(AZ128*Worksheet!$E$111,2))*Worksheet!$D$114,2))*BaseRate,2)</f>
        <v>122262.83</v>
      </c>
      <c r="CU128" s="121">
        <v>0</v>
      </c>
      <c r="CV128" s="121">
        <v>0</v>
      </c>
      <c r="CW128" s="121">
        <v>0</v>
      </c>
      <c r="CX128" s="121">
        <v>0</v>
      </c>
      <c r="CY128" s="121">
        <v>0</v>
      </c>
      <c r="DA128" s="192">
        <f t="shared" si="79"/>
        <v>0</v>
      </c>
      <c r="DB128" s="192">
        <f>MAX(-CT128,MIN(0,ROUND($R128*EFBPercent+EFBAdd,2)-$Q128),MIN(0,SUM($CS128:CS128)+MIN(0,ROUND($R128*EFBPercent+EFBAdd,2)-$Q128)))</f>
        <v>0</v>
      </c>
      <c r="DC128" s="192">
        <f>IF(CU128&lt;0,0,MAX(-CU128,MIN(0,ROUND($R128*EFBPercent+EFBAdd,2)-$Q128),MIN(0,SUM($CS128:CT128)+MIN(0,ROUND($R128*EFBPercent+EFBAdd,2)-$Q128))))</f>
        <v>0</v>
      </c>
      <c r="DD128" s="192">
        <f>IF(CV128&lt;0,0,MAX(-CV128,MIN(0,ROUND($R128*EFBPercent+EFBAdd,2)-$Q128),MIN(0,SUM($CS128:CU128)+MIN(0,ROUND($R128*EFBPercent+EFBAdd,2)-$Q128))))</f>
        <v>0</v>
      </c>
      <c r="DE128" s="192">
        <f>IF(CW128&lt;0,0,MAX(-CW128,MIN(0,ROUND($R128*EFBPercent+EFBAdd,2)-$Q128),MIN(0,SUM($CS128:CV128)+MIN(0,ROUND($R128*EFBPercent+EFBAdd,2)-$Q128))))</f>
        <v>0</v>
      </c>
      <c r="DF128" s="192">
        <f>IF(CX128&lt;0,0,MAX(-CX128,MIN(0,ROUND($R128*EFBPercent+EFBAdd,2)-$Q128),MIN(0,SUM($CS128:CW128)+MIN(0,ROUND($R128*EFBPercent+EFBAdd,2)-$Q128))))</f>
        <v>0</v>
      </c>
      <c r="DG128" s="192">
        <f>MAX(-CY128,MIN(0,ROUND($R128*EFBPercent+EFBAdd,2)-$Q128),MIN(0,SUM($CS128:CX128)+MIN(0,ROUND($R128*EFBPercent+EFBAdd,2)-$Q128)))</f>
        <v>0</v>
      </c>
      <c r="DI128" s="73">
        <f t="shared" si="80"/>
        <v>3895049.3400000003</v>
      </c>
      <c r="DJ128" s="73">
        <f t="shared" si="81"/>
        <v>122262.83</v>
      </c>
      <c r="DK128" s="73">
        <f t="shared" si="82"/>
        <v>0</v>
      </c>
      <c r="DL128" s="73">
        <f t="shared" si="83"/>
        <v>0</v>
      </c>
      <c r="DM128" s="73">
        <f t="shared" si="84"/>
        <v>0</v>
      </c>
      <c r="DN128" s="73">
        <f t="shared" si="85"/>
        <v>0</v>
      </c>
      <c r="DO128" s="73">
        <f t="shared" si="86"/>
        <v>0</v>
      </c>
      <c r="DP128" s="73"/>
      <c r="DQ128" s="73"/>
    </row>
    <row r="129" spans="1:121" ht="10.199999999999999" x14ac:dyDescent="0.2">
      <c r="A129" s="4" t="s">
        <v>598</v>
      </c>
      <c r="B129" s="188">
        <v>1029</v>
      </c>
      <c r="C129" s="189" t="s">
        <v>123</v>
      </c>
      <c r="D129" s="4">
        <v>2027</v>
      </c>
      <c r="E129" s="4" t="s">
        <v>437</v>
      </c>
      <c r="F129" s="4">
        <v>1</v>
      </c>
      <c r="G129" s="4" t="s">
        <v>683</v>
      </c>
      <c r="H129" s="4">
        <v>100</v>
      </c>
      <c r="I129" s="4" t="s">
        <v>854</v>
      </c>
      <c r="J129" s="5">
        <v>2729661.6</v>
      </c>
      <c r="K129" s="5">
        <v>237.95</v>
      </c>
      <c r="L129" s="5">
        <v>191.5</v>
      </c>
      <c r="M129" s="5">
        <v>0</v>
      </c>
      <c r="N129" s="5">
        <v>13836164</v>
      </c>
      <c r="O129" s="5">
        <v>15.9</v>
      </c>
      <c r="P129" s="5">
        <v>128.32</v>
      </c>
      <c r="Q129" s="5">
        <v>0</v>
      </c>
      <c r="R129" s="5">
        <v>0</v>
      </c>
      <c r="S129" s="5">
        <v>0</v>
      </c>
      <c r="T129" s="5">
        <v>0</v>
      </c>
      <c r="U129" s="5">
        <v>0</v>
      </c>
      <c r="V129" s="5">
        <v>16411.43</v>
      </c>
      <c r="W129" s="5">
        <v>1619.64</v>
      </c>
      <c r="X129" s="5">
        <v>11572.789999999999</v>
      </c>
      <c r="Y129" s="5">
        <v>0.39</v>
      </c>
      <c r="Z129" s="5">
        <v>10</v>
      </c>
      <c r="AA129" s="5">
        <v>83</v>
      </c>
      <c r="AB129" s="5">
        <v>22</v>
      </c>
      <c r="AC129" s="5">
        <v>58</v>
      </c>
      <c r="AD129" s="5">
        <v>0</v>
      </c>
      <c r="AE129" s="5">
        <v>0.92</v>
      </c>
      <c r="AF129" s="5">
        <v>0.71</v>
      </c>
      <c r="AG129" s="5">
        <v>1.24</v>
      </c>
      <c r="AH129" s="5">
        <v>0.36899999999999999</v>
      </c>
      <c r="AI129" s="5">
        <v>0</v>
      </c>
      <c r="AJ129" s="5">
        <v>0</v>
      </c>
      <c r="AK129" s="5">
        <v>0</v>
      </c>
      <c r="AL129" s="5">
        <v>173.82999999999998</v>
      </c>
      <c r="AM129" s="5">
        <v>5.8799999999999955</v>
      </c>
      <c r="AN129" s="5">
        <v>173</v>
      </c>
      <c r="AO129" s="5">
        <f t="shared" si="94"/>
        <v>0.82999999999998408</v>
      </c>
      <c r="AP129" s="5">
        <f t="shared" si="104"/>
        <v>0</v>
      </c>
      <c r="AQ129" s="5">
        <v>0.44</v>
      </c>
      <c r="AR129" s="5">
        <v>0</v>
      </c>
      <c r="AS129" s="5">
        <v>0</v>
      </c>
      <c r="AT129" s="5">
        <v>37451</v>
      </c>
      <c r="AU129" s="5">
        <v>0</v>
      </c>
      <c r="AV129" s="5">
        <v>1020</v>
      </c>
      <c r="AW129" s="5">
        <v>191.5</v>
      </c>
      <c r="AX129" s="5">
        <v>1</v>
      </c>
      <c r="AY129" s="199">
        <v>0</v>
      </c>
      <c r="AZ129" s="199">
        <v>0</v>
      </c>
      <c r="BA129" s="5">
        <v>141843.9</v>
      </c>
      <c r="BB129" s="13">
        <v>812730.6</v>
      </c>
      <c r="BC129" s="190">
        <f>MAX(ROUND(IF(F129&lt;4,IF(H129=0,(SUM(Y129:AD129)*Worksheet!$E$26+Y129*Worksheet!$E$27+AR129*Worksheet!$E$39)*-BaseRate,0)),2),MIN(0,-DI129))</f>
        <v>0</v>
      </c>
      <c r="BD129" s="190">
        <f>MAX(ROUND(IF(F129=4,0,IF(I129=0,0,ROUND(SUM(Y129:AD129)*Worksheet!$E$28,2)*-BaseRate)),2),MIN(0,-DI129-BC129))</f>
        <v>-4071.55</v>
      </c>
      <c r="BE129" s="130">
        <f t="shared" si="87"/>
        <v>0</v>
      </c>
      <c r="BF129" s="130">
        <f t="shared" si="88"/>
        <v>1406</v>
      </c>
      <c r="BG129" s="73"/>
      <c r="BH129" s="191">
        <f t="shared" si="89"/>
        <v>53661.82</v>
      </c>
      <c r="BI129" s="191">
        <f t="shared" si="90"/>
        <v>11471.58</v>
      </c>
      <c r="BJ129" s="232">
        <f>IFERROR(ROUND(IF(AND(BB129*1.12&lt;N129*60/1000,N129/CL129&lt;STVPP*0.2),(CL129*STVPP*0.2*Worksheet!$F$88/1000-BB129*1.12)*PropTaxAdj,IF(BB129*1.12&lt;N129*60/1000,(N129*60/1000-BB129*1.12)*PropTaxAdj,0)),2),0)</f>
        <v>0</v>
      </c>
      <c r="BK129" s="192">
        <f>ROUND(IF($F129=4,0,Y129*Worksheet!$E$16),2)</f>
        <v>0.39</v>
      </c>
      <c r="BL129" s="192">
        <f>ROUND(IF($F129=4,0,Z129*Worksheet!$E$17),2)</f>
        <v>10</v>
      </c>
      <c r="BM129" s="192">
        <f>ROUND(IF($F129=4,0,AA129*Worksheet!$E$18),2)</f>
        <v>83</v>
      </c>
      <c r="BN129" s="192">
        <f>ROUND(IF($F129=4,0,AB129*Worksheet!$E$19),2)</f>
        <v>22</v>
      </c>
      <c r="BO129" s="192">
        <f>ROUND(IF($F129=4,0,AC129*Worksheet!$E$20),2)</f>
        <v>58</v>
      </c>
      <c r="BP129" s="192">
        <f>ROUND(AD129*Worksheet!$E$21,2)</f>
        <v>0</v>
      </c>
      <c r="BQ129" s="192">
        <f t="shared" si="76"/>
        <v>173.39</v>
      </c>
      <c r="BR129" s="192">
        <f>ROUND(AD129*Worksheet!$E$25,2)</f>
        <v>0</v>
      </c>
      <c r="BS129" s="192">
        <f>ROUND(SUM(BQ129)*Worksheet!$E$26,2)</f>
        <v>15.26</v>
      </c>
      <c r="BT129" s="192">
        <f>ROUND(Y129*Worksheet!$E$27,2)</f>
        <v>7.0000000000000007E-2</v>
      </c>
      <c r="BU129" s="192">
        <f>ROUND(AO129*Worksheet!$E$29,2)</f>
        <v>0.83</v>
      </c>
      <c r="BV129" s="192">
        <f>ROUND(AP129*Worksheet!$E$30,2)</f>
        <v>0</v>
      </c>
      <c r="BW129" s="192">
        <f>ROUND(IF($I129&lt;&gt;0,$BQ129*Worksheet!$E$28,0),2)</f>
        <v>0.35</v>
      </c>
      <c r="BX129" s="192">
        <f>ROUND(AE129*Worksheet!$E$31,2)</f>
        <v>0.37</v>
      </c>
      <c r="BY129" s="192">
        <f>ROUND(AF129*Worksheet!$E$32,2)</f>
        <v>0.2</v>
      </c>
      <c r="BZ129" s="192">
        <f>ROUND(AG129*Worksheet!$E$33,2)</f>
        <v>0.09</v>
      </c>
      <c r="CA129" s="192">
        <f>ROUND(ROUND(AH129*BQ129,2)*Worksheet!$E$34,2)</f>
        <v>1.6</v>
      </c>
      <c r="CB129" s="192">
        <f>ROUND(AI129*Worksheet!$E$35,2)</f>
        <v>0</v>
      </c>
      <c r="CC129" s="192">
        <f>ROUND(AJ129*Worksheet!$E$36,2)</f>
        <v>0</v>
      </c>
      <c r="CD129" s="192">
        <f>ROUND(AQ129*Worksheet!$E$38,2)</f>
        <v>0.26</v>
      </c>
      <c r="CE129" s="192">
        <f>ROUND(AR129*Worksheet!$E$39,2)</f>
        <v>0</v>
      </c>
      <c r="CF129" s="192">
        <f>IF(AND(L129&gt;275,SUM(Y129:AD129)&lt;100),ROUND(SUM(Y129:AD129)*Worksheet!$E$41,2),0)</f>
        <v>0</v>
      </c>
      <c r="CG129" s="192">
        <f>IF(AND(L129&gt;600,SUM(Y129:AD129)&lt;50),ROUND((50-SUM(Y129:AD129))*(Worksheet!$E$41+1),2),0)</f>
        <v>0</v>
      </c>
      <c r="CH129" s="192">
        <f t="shared" si="77"/>
        <v>192.41999999999996</v>
      </c>
      <c r="CI129" s="116">
        <f t="shared" si="95"/>
        <v>0</v>
      </c>
      <c r="CJ129" s="116">
        <f t="shared" si="96"/>
        <v>192.41999999999996</v>
      </c>
      <c r="CK129" s="95">
        <f t="shared" si="91"/>
        <v>1.34</v>
      </c>
      <c r="CL129" s="116">
        <f t="shared" si="97"/>
        <v>257.83999999999997</v>
      </c>
      <c r="CM129" s="116">
        <f t="shared" si="98"/>
        <v>257.83999999999997</v>
      </c>
      <c r="CN129" s="116">
        <f t="shared" si="92"/>
        <v>2999452.72</v>
      </c>
      <c r="CO129" s="131">
        <f>ROUND(IF(F129=4,0,(MAX(ROUND(MAX((BI129*MIN(CL129,K129)*Worksheet!$D$126)+MAX(CL129-K129,0)*Worksheet!$F$50,SUM(J129)),2),SUM(CN129))-SUM(CN129))*MinAdj),2)</f>
        <v>2427.5</v>
      </c>
      <c r="CP129" s="192">
        <f t="shared" si="93"/>
        <v>3001880.22</v>
      </c>
      <c r="CQ129" s="131">
        <f>IF(CL129=0,0,-MIN(CP129,MIN(CP129,ROUND(IF(ROUND(IF(CL129=0,0,N129/CL129),2)&lt;STVPP*0.2,STVPP*0.2*CL129*Worksheet!$F$88/1000,N129*Worksheet!$F$88/1000),2))))</f>
        <v>-830169.84</v>
      </c>
      <c r="CR129" s="193">
        <f>-MIN(SUM(CP129,CQ129),IF($P129=0,(ROUND(Worksheet!$E$77*S129,2)+ROUND(Worksheet!$E$78*T129,2)+ROUND(Worksheet!$E$79*U129,2)+ROUND(Worksheet!$E$80*V129,2)+ROUND(Worksheet!$E$81*W129,2)+ROUND(Worksheet!$E$82*X129,2)),(ROUND(ROUND(S129*ROUND((1-$O129/$P129),4),2)*Worksheet!$E$77,2)+ROUND(ROUND(T129*ROUND((1-$O129/$P129),4),2)*Worksheet!$E$78,2)+ROUND(ROUND(U129*ROUND((1-$O129/$P129),4),2)*Worksheet!$E$79,2)+ROUND(ROUND(V129*ROUND((1-$O129/$P129),4),2)*Worksheet!$E$80,2)+ROUND(ROUND(W129*ROUND((1-$O129/$P129),4),2)*Worksheet!$E$81,2)+ROUND(ROUND(X129*ROUND((1-$O129/$P129),4),2)*Worksheet!$E$82,2))))</f>
        <v>-19451.96</v>
      </c>
      <c r="CS129" s="192">
        <f t="shared" si="78"/>
        <v>2152258.4200000004</v>
      </c>
      <c r="CT129" s="116">
        <f>ROUND(MIN(BA129,ROUND((ROUND(AS129*Worksheet!$E$104,2)+ROUND(AV129*Worksheet!$E$107,2)+ROUND(AT129*Worksheet!$E$105,2)+ROUND(AW129*Worksheet!$E$108,2)+ROUND(AU129*Worksheet!$E$106,2)+ROUND(AX129*Worksheet!$E$109,2)+ROUND(AY129*Worksheet!$E$110,2)+ROUND(AZ129*Worksheet!$E$111,2))*Worksheet!$D$114,2))*BaseRate,2)</f>
        <v>58979.31</v>
      </c>
      <c r="CU129" s="121">
        <v>0</v>
      </c>
      <c r="CV129" s="121">
        <v>0</v>
      </c>
      <c r="CW129" s="121">
        <v>0</v>
      </c>
      <c r="CX129" s="121">
        <v>0</v>
      </c>
      <c r="CY129" s="121">
        <v>0</v>
      </c>
      <c r="DA129" s="192">
        <f t="shared" si="79"/>
        <v>0</v>
      </c>
      <c r="DB129" s="192">
        <f>MAX(-CT129,MIN(0,ROUND($R129*EFBPercent+EFBAdd,2)-$Q129),MIN(0,SUM($CS129:CS129)+MIN(0,ROUND($R129*EFBPercent+EFBAdd,2)-$Q129)))</f>
        <v>0</v>
      </c>
      <c r="DC129" s="192">
        <f>IF(CU129&lt;0,0,MAX(-CU129,MIN(0,ROUND($R129*EFBPercent+EFBAdd,2)-$Q129),MIN(0,SUM($CS129:CT129)+MIN(0,ROUND($R129*EFBPercent+EFBAdd,2)-$Q129))))</f>
        <v>0</v>
      </c>
      <c r="DD129" s="192">
        <f>IF(CV129&lt;0,0,MAX(-CV129,MIN(0,ROUND($R129*EFBPercent+EFBAdd,2)-$Q129),MIN(0,SUM($CS129:CU129)+MIN(0,ROUND($R129*EFBPercent+EFBAdd,2)-$Q129))))</f>
        <v>0</v>
      </c>
      <c r="DE129" s="192">
        <f>IF(CW129&lt;0,0,MAX(-CW129,MIN(0,ROUND($R129*EFBPercent+EFBAdd,2)-$Q129),MIN(0,SUM($CS129:CV129)+MIN(0,ROUND($R129*EFBPercent+EFBAdd,2)-$Q129))))</f>
        <v>0</v>
      </c>
      <c r="DF129" s="192">
        <f>IF(CX129&lt;0,0,MAX(-CX129,MIN(0,ROUND($R129*EFBPercent+EFBAdd,2)-$Q129),MIN(0,SUM($CS129:CW129)+MIN(0,ROUND($R129*EFBPercent+EFBAdd,2)-$Q129))))</f>
        <v>0</v>
      </c>
      <c r="DG129" s="192">
        <f>MAX(-CY129,MIN(0,ROUND($R129*EFBPercent+EFBAdd,2)-$Q129),MIN(0,SUM($CS129:CX129)+MIN(0,ROUND($R129*EFBPercent+EFBAdd,2)-$Q129)))</f>
        <v>0</v>
      </c>
      <c r="DI129" s="73">
        <f t="shared" si="80"/>
        <v>2152258.4200000004</v>
      </c>
      <c r="DJ129" s="73">
        <f t="shared" si="81"/>
        <v>58979.31</v>
      </c>
      <c r="DK129" s="73">
        <f t="shared" si="82"/>
        <v>0</v>
      </c>
      <c r="DL129" s="73">
        <f t="shared" si="83"/>
        <v>0</v>
      </c>
      <c r="DM129" s="73">
        <f t="shared" si="84"/>
        <v>0</v>
      </c>
      <c r="DN129" s="73">
        <f t="shared" si="85"/>
        <v>0</v>
      </c>
      <c r="DO129" s="73">
        <f t="shared" si="86"/>
        <v>0</v>
      </c>
      <c r="DP129" s="73"/>
      <c r="DQ129" s="73"/>
    </row>
    <row r="130" spans="1:121" ht="10.199999999999999" x14ac:dyDescent="0.2">
      <c r="A130" s="4" t="s">
        <v>599</v>
      </c>
      <c r="B130" s="188">
        <v>1123</v>
      </c>
      <c r="C130" s="189" t="s">
        <v>124</v>
      </c>
      <c r="D130" s="4">
        <v>2027</v>
      </c>
      <c r="E130" s="4" t="s">
        <v>438</v>
      </c>
      <c r="F130" s="4">
        <v>1</v>
      </c>
      <c r="G130" s="4" t="s">
        <v>675</v>
      </c>
      <c r="H130" s="4">
        <v>0</v>
      </c>
      <c r="I130" s="4" t="s">
        <v>854</v>
      </c>
      <c r="J130" s="5">
        <v>5800546.71</v>
      </c>
      <c r="K130" s="5">
        <v>377.75</v>
      </c>
      <c r="L130" s="5">
        <v>551.67999999999995</v>
      </c>
      <c r="M130" s="5">
        <v>1</v>
      </c>
      <c r="N130" s="5">
        <v>33667704</v>
      </c>
      <c r="O130" s="5">
        <v>0</v>
      </c>
      <c r="P130" s="5">
        <v>69.06</v>
      </c>
      <c r="Q130" s="5">
        <v>0</v>
      </c>
      <c r="R130" s="5">
        <v>0</v>
      </c>
      <c r="S130" s="5">
        <v>4200</v>
      </c>
      <c r="T130" s="5">
        <v>0</v>
      </c>
      <c r="U130" s="5">
        <v>0</v>
      </c>
      <c r="V130" s="5">
        <v>24075.17</v>
      </c>
      <c r="W130" s="5">
        <v>9176.14</v>
      </c>
      <c r="X130" s="5">
        <v>36867.64</v>
      </c>
      <c r="Y130" s="5">
        <v>3.78</v>
      </c>
      <c r="Z130" s="5">
        <v>28</v>
      </c>
      <c r="AA130" s="5">
        <v>130</v>
      </c>
      <c r="AB130" s="5">
        <v>52</v>
      </c>
      <c r="AC130" s="5">
        <v>90</v>
      </c>
      <c r="AD130" s="5">
        <v>0</v>
      </c>
      <c r="AE130" s="5">
        <v>0</v>
      </c>
      <c r="AF130" s="5">
        <v>0</v>
      </c>
      <c r="AG130" s="5">
        <v>3</v>
      </c>
      <c r="AH130" s="5">
        <v>0.29399999999999998</v>
      </c>
      <c r="AI130" s="5">
        <v>0</v>
      </c>
      <c r="AJ130" s="5">
        <v>0</v>
      </c>
      <c r="AK130" s="5">
        <v>0</v>
      </c>
      <c r="AL130" s="5">
        <v>301.14</v>
      </c>
      <c r="AM130" s="5">
        <v>4.3100000000000023</v>
      </c>
      <c r="AN130" s="5">
        <v>300</v>
      </c>
      <c r="AO130" s="5">
        <f t="shared" si="94"/>
        <v>1.1399999999999864</v>
      </c>
      <c r="AP130" s="5">
        <f t="shared" si="104"/>
        <v>0</v>
      </c>
      <c r="AQ130" s="5">
        <v>0.53</v>
      </c>
      <c r="AR130" s="5">
        <v>0.06</v>
      </c>
      <c r="AS130" s="5">
        <v>0</v>
      </c>
      <c r="AT130" s="5">
        <v>98600</v>
      </c>
      <c r="AU130" s="5">
        <v>0</v>
      </c>
      <c r="AV130" s="5">
        <v>1700</v>
      </c>
      <c r="AW130" s="5">
        <v>551.67999999999995</v>
      </c>
      <c r="AX130" s="5">
        <v>2</v>
      </c>
      <c r="AY130" s="199">
        <v>4080</v>
      </c>
      <c r="AZ130" s="199">
        <v>0</v>
      </c>
      <c r="BA130" s="5">
        <v>126223.61</v>
      </c>
      <c r="BB130" s="13">
        <v>1941418.32</v>
      </c>
      <c r="BC130" s="190">
        <f>MAX(ROUND(IF(F130&lt;4,IF(H130=0,(SUM(Y130:AD130)*Worksheet!$E$26+Y130*Worksheet!$E$27+AR130*Worksheet!$E$39)*-BaseRate,0)),2),MIN(0,-DI130))</f>
        <v>-319154.15000000002</v>
      </c>
      <c r="BD130" s="190">
        <f>MAX(ROUND(IF(F130=4,0,IF(I130=0,0,ROUND(SUM(Y130:AD130)*Worksheet!$E$28,2)*-BaseRate)),2),MIN(0,-DI130-BC130))</f>
        <v>-7096.13</v>
      </c>
      <c r="BE130" s="130">
        <f t="shared" si="87"/>
        <v>2514</v>
      </c>
      <c r="BF130" s="130">
        <f t="shared" si="88"/>
        <v>1406</v>
      </c>
      <c r="BG130" s="73"/>
      <c r="BH130" s="191">
        <f t="shared" si="89"/>
        <v>69076.13</v>
      </c>
      <c r="BI130" s="191">
        <f t="shared" si="90"/>
        <v>15355.52</v>
      </c>
      <c r="BJ130" s="232">
        <f>IFERROR(ROUND(IF(AND(BB130*1.12&lt;N130*60/1000,N130/CL130&lt;STVPP*0.2),(CL130*STVPP*0.2*Worksheet!$F$88/1000-BB130*1.12)*PropTaxAdj,IF(BB130*1.12&lt;N130*60/1000,(N130*60/1000-BB130*1.12)*PropTaxAdj,0)),2),0)</f>
        <v>0</v>
      </c>
      <c r="BK130" s="192">
        <f>ROUND(IF($F130=4,0,Y130*Worksheet!$E$16),2)</f>
        <v>3.78</v>
      </c>
      <c r="BL130" s="192">
        <f>ROUND(IF($F130=4,0,Z130*Worksheet!$E$17),2)</f>
        <v>28</v>
      </c>
      <c r="BM130" s="192">
        <f>ROUND(IF($F130=4,0,AA130*Worksheet!$E$18),2)</f>
        <v>130</v>
      </c>
      <c r="BN130" s="192">
        <f>ROUND(IF($F130=4,0,AB130*Worksheet!$E$19),2)</f>
        <v>52</v>
      </c>
      <c r="BO130" s="192">
        <f>ROUND(IF($F130=4,0,AC130*Worksheet!$E$20),2)</f>
        <v>90</v>
      </c>
      <c r="BP130" s="192">
        <f>ROUND(AD130*Worksheet!$E$21,2)</f>
        <v>0</v>
      </c>
      <c r="BQ130" s="192">
        <f t="shared" ref="BQ130:BQ186" si="105">SUM(BK130:BP130)</f>
        <v>303.77999999999997</v>
      </c>
      <c r="BR130" s="192">
        <f>ROUND(AD130*Worksheet!$E$25,2)</f>
        <v>0</v>
      </c>
      <c r="BS130" s="192">
        <f>ROUND(SUM(BQ130)*Worksheet!$E$26,2)</f>
        <v>26.73</v>
      </c>
      <c r="BT130" s="192">
        <f>ROUND(Y130*Worksheet!$E$27,2)</f>
        <v>0.64</v>
      </c>
      <c r="BU130" s="192">
        <f>ROUND(AO130*Worksheet!$E$29,2)</f>
        <v>1.1399999999999999</v>
      </c>
      <c r="BV130" s="192">
        <f>ROUND(AP130*Worksheet!$E$30,2)</f>
        <v>0</v>
      </c>
      <c r="BW130" s="192">
        <f>ROUND(IF($I130&lt;&gt;0,$BQ130*Worksheet!$E$28,0),2)</f>
        <v>0.61</v>
      </c>
      <c r="BX130" s="192">
        <f>ROUND(AE130*Worksheet!$E$31,2)</f>
        <v>0</v>
      </c>
      <c r="BY130" s="192">
        <f>ROUND(AF130*Worksheet!$E$32,2)</f>
        <v>0</v>
      </c>
      <c r="BZ130" s="192">
        <f>ROUND(AG130*Worksheet!$E$33,2)</f>
        <v>0.21</v>
      </c>
      <c r="CA130" s="192">
        <f>ROUND(ROUND(AH130*BQ130,2)*Worksheet!$E$34,2)</f>
        <v>2.23</v>
      </c>
      <c r="CB130" s="192">
        <f>ROUND(AI130*Worksheet!$E$35,2)</f>
        <v>0</v>
      </c>
      <c r="CC130" s="192">
        <f>ROUND(AJ130*Worksheet!$E$36,2)</f>
        <v>0</v>
      </c>
      <c r="CD130" s="192">
        <f>ROUND(AQ130*Worksheet!$E$38,2)</f>
        <v>0.32</v>
      </c>
      <c r="CE130" s="192">
        <f>ROUND(AR130*Worksheet!$E$39,2)</f>
        <v>0.06</v>
      </c>
      <c r="CF130" s="192">
        <f>IF(AND(L130&gt;275,SUM(Y130:AD130)&lt;100),ROUND(SUM(Y130:AD130)*Worksheet!$E$41,2),0)</f>
        <v>0</v>
      </c>
      <c r="CG130" s="192">
        <f>IF(AND(L130&gt;600,SUM(Y130:AD130)&lt;50),ROUND((50-SUM(Y130:AD130))*(Worksheet!$E$41+1),2),0)</f>
        <v>0</v>
      </c>
      <c r="CH130" s="192">
        <f t="shared" ref="CH130:CH186" si="106">SUM(BQ130:CG130)</f>
        <v>335.71999999999997</v>
      </c>
      <c r="CI130" s="116">
        <f t="shared" si="95"/>
        <v>0</v>
      </c>
      <c r="CJ130" s="116">
        <f t="shared" si="96"/>
        <v>335.71999999999997</v>
      </c>
      <c r="CK130" s="95">
        <f t="shared" si="91"/>
        <v>1.4518</v>
      </c>
      <c r="CL130" s="116">
        <f t="shared" si="97"/>
        <v>487.4</v>
      </c>
      <c r="CM130" s="116">
        <f t="shared" si="98"/>
        <v>487.4</v>
      </c>
      <c r="CN130" s="116">
        <f t="shared" si="92"/>
        <v>5669924.2000000002</v>
      </c>
      <c r="CO130" s="131">
        <f>ROUND(IF(F130=4,0,(MAX(ROUND(MAX((BI130*MIN(CL130,K130)*Worksheet!$D$126)+MAX(CL130-K130,0)*Worksheet!$F$50,SUM(J130)),2),SUM(CN130))-SUM(CN130))*MinAdj),2)</f>
        <v>228328.93</v>
      </c>
      <c r="CP130" s="192">
        <f t="shared" si="93"/>
        <v>5898253.1299999999</v>
      </c>
      <c r="CQ130" s="131">
        <f>IF(CL130=0,0,-MIN(CP130,MIN(CP130,ROUND(IF(ROUND(IF(CL130=0,0,N130/CL130),2)&lt;STVPP*0.2,STVPP*0.2*CL130*Worksheet!$F$88/1000,N130*Worksheet!$F$88/1000),2))))</f>
        <v>-2020062.24</v>
      </c>
      <c r="CR130" s="193">
        <f>-MIN(SUM(CP130,CQ130),IF($P130=0,(ROUND(Worksheet!$E$77*S130,2)+ROUND(Worksheet!$E$78*T130,2)+ROUND(Worksheet!$E$79*U130,2)+ROUND(Worksheet!$E$80*V130,2)+ROUND(Worksheet!$E$81*W130,2)+ROUND(Worksheet!$E$82*X130,2)),(ROUND(ROUND(S130*ROUND((1-$O130/$P130),4),2)*Worksheet!$E$77,2)+ROUND(ROUND(T130*ROUND((1-$O130/$P130),4),2)*Worksheet!$E$78,2)+ROUND(ROUND(U130*ROUND((1-$O130/$P130),4),2)*Worksheet!$E$79,2)+ROUND(ROUND(V130*ROUND((1-$O130/$P130),4),2)*Worksheet!$E$80,2)+ROUND(ROUND(W130*ROUND((1-$O130/$P130),4),2)*Worksheet!$E$81,2)+ROUND(ROUND(X130*ROUND((1-$O130/$P130),4),2)*Worksheet!$E$82,2))))</f>
        <v>-55739.22</v>
      </c>
      <c r="CS130" s="192">
        <f t="shared" ref="CS130:CS186" si="107">SUM(CP130:CR130)</f>
        <v>3822451.6699999995</v>
      </c>
      <c r="CT130" s="116">
        <f>ROUND(MIN(BA130,ROUND((ROUND(AS130*Worksheet!$E$104,2)+ROUND(AV130*Worksheet!$E$107,2)+ROUND(AT130*Worksheet!$E$105,2)+ROUND(AW130*Worksheet!$E$108,2)+ROUND(AU130*Worksheet!$E$106,2)+ROUND(AX130*Worksheet!$E$109,2)+ROUND(AY130*Worksheet!$E$110,2)+ROUND(AZ130*Worksheet!$E$111,2))*Worksheet!$D$114,2))*BaseRate,2)</f>
        <v>145179.84</v>
      </c>
      <c r="CU130" s="121">
        <v>0</v>
      </c>
      <c r="CV130" s="121">
        <v>0</v>
      </c>
      <c r="CW130" s="121">
        <v>0</v>
      </c>
      <c r="CX130" s="121">
        <v>0</v>
      </c>
      <c r="CY130" s="121">
        <v>0</v>
      </c>
      <c r="DA130" s="192">
        <f t="shared" ref="DA130:DA186" si="108">MAX(-CS130,MIN(0,ROUND($R130*EFBPercent+EFBAdd,2)-$Q130))</f>
        <v>0</v>
      </c>
      <c r="DB130" s="192">
        <f>MAX(-CT130,MIN(0,ROUND($R130*EFBPercent+EFBAdd,2)-$Q130),MIN(0,SUM($CS130:CS130)+MIN(0,ROUND($R130*EFBPercent+EFBAdd,2)-$Q130)))</f>
        <v>0</v>
      </c>
      <c r="DC130" s="192">
        <f>IF(CU130&lt;0,0,MAX(-CU130,MIN(0,ROUND($R130*EFBPercent+EFBAdd,2)-$Q130),MIN(0,SUM($CS130:CT130)+MIN(0,ROUND($R130*EFBPercent+EFBAdd,2)-$Q130))))</f>
        <v>0</v>
      </c>
      <c r="DD130" s="192">
        <f>IF(CV130&lt;0,0,MAX(-CV130,MIN(0,ROUND($R130*EFBPercent+EFBAdd,2)-$Q130),MIN(0,SUM($CS130:CU130)+MIN(0,ROUND($R130*EFBPercent+EFBAdd,2)-$Q130))))</f>
        <v>0</v>
      </c>
      <c r="DE130" s="192">
        <f>IF(CW130&lt;0,0,MAX(-CW130,MIN(0,ROUND($R130*EFBPercent+EFBAdd,2)-$Q130),MIN(0,SUM($CS130:CV130)+MIN(0,ROUND($R130*EFBPercent+EFBAdd,2)-$Q130))))</f>
        <v>0</v>
      </c>
      <c r="DF130" s="192">
        <f>IF(CX130&lt;0,0,MAX(-CX130,MIN(0,ROUND($R130*EFBPercent+EFBAdd,2)-$Q130),MIN(0,SUM($CS130:CW130)+MIN(0,ROUND($R130*EFBPercent+EFBAdd,2)-$Q130))))</f>
        <v>0</v>
      </c>
      <c r="DG130" s="192">
        <f>MAX(-CY130,MIN(0,ROUND($R130*EFBPercent+EFBAdd,2)-$Q130),MIN(0,SUM($CS130:CX130)+MIN(0,ROUND($R130*EFBPercent+EFBAdd,2)-$Q130)))</f>
        <v>0</v>
      </c>
      <c r="DI130" s="73">
        <f t="shared" ref="DI130:DI186" si="109">+CS130+DA130</f>
        <v>3822451.6699999995</v>
      </c>
      <c r="DJ130" s="73">
        <f t="shared" ref="DJ130:DJ186" si="110">+CT130+DB130</f>
        <v>145179.84</v>
      </c>
      <c r="DK130" s="73">
        <f t="shared" ref="DK130:DK186" si="111">+CU130+DC130</f>
        <v>0</v>
      </c>
      <c r="DL130" s="73">
        <f t="shared" ref="DL130:DL186" si="112">+CV130+DD130</f>
        <v>0</v>
      </c>
      <c r="DM130" s="73">
        <f t="shared" ref="DM130:DM186" si="113">+CW130+DE130</f>
        <v>0</v>
      </c>
      <c r="DN130" s="73">
        <f t="shared" ref="DN130:DN186" si="114">+CX130+DF130</f>
        <v>0</v>
      </c>
      <c r="DO130" s="73">
        <f t="shared" ref="DO130:DO186" si="115">+CY130+DG130</f>
        <v>0</v>
      </c>
      <c r="DP130" s="73"/>
      <c r="DQ130" s="73"/>
    </row>
    <row r="131" spans="1:121" ht="10.199999999999999" x14ac:dyDescent="0.2">
      <c r="A131" s="4" t="s">
        <v>916</v>
      </c>
      <c r="B131" s="188">
        <v>1165</v>
      </c>
      <c r="C131" s="197" t="s">
        <v>918</v>
      </c>
      <c r="D131" s="4">
        <v>2027</v>
      </c>
      <c r="E131" s="4" t="s">
        <v>917</v>
      </c>
      <c r="F131" s="4">
        <v>1</v>
      </c>
      <c r="G131" s="4" t="s">
        <v>1147</v>
      </c>
      <c r="H131" s="4">
        <v>100</v>
      </c>
      <c r="I131" s="4" t="s">
        <v>854</v>
      </c>
      <c r="J131" s="5">
        <v>3025377.6</v>
      </c>
      <c r="K131" s="5">
        <v>238.48</v>
      </c>
      <c r="L131" s="5">
        <v>294.07</v>
      </c>
      <c r="M131" s="5">
        <v>0</v>
      </c>
      <c r="N131" s="5">
        <v>15467430</v>
      </c>
      <c r="O131" s="5">
        <v>0</v>
      </c>
      <c r="P131" s="5">
        <v>95.02</v>
      </c>
      <c r="Q131" s="5">
        <v>0</v>
      </c>
      <c r="R131" s="5">
        <v>0</v>
      </c>
      <c r="S131" s="5">
        <v>700</v>
      </c>
      <c r="T131" s="5">
        <v>0</v>
      </c>
      <c r="U131" s="5">
        <v>0</v>
      </c>
      <c r="V131" s="5">
        <v>29056.989999999998</v>
      </c>
      <c r="W131" s="5">
        <v>1094.04</v>
      </c>
      <c r="X131" s="5">
        <v>16666.16</v>
      </c>
      <c r="Y131" s="5">
        <v>0</v>
      </c>
      <c r="Z131" s="5">
        <v>16</v>
      </c>
      <c r="AA131" s="5">
        <v>100</v>
      </c>
      <c r="AB131" s="5">
        <v>28</v>
      </c>
      <c r="AC131" s="5">
        <v>44</v>
      </c>
      <c r="AD131" s="5">
        <v>0</v>
      </c>
      <c r="AE131" s="5">
        <v>0</v>
      </c>
      <c r="AF131" s="5">
        <v>0</v>
      </c>
      <c r="AG131" s="5">
        <v>0</v>
      </c>
      <c r="AH131" s="5">
        <v>0.41699999999999998</v>
      </c>
      <c r="AI131" s="5">
        <v>0</v>
      </c>
      <c r="AJ131" s="5">
        <v>0</v>
      </c>
      <c r="AK131" s="5">
        <v>0</v>
      </c>
      <c r="AL131" s="5">
        <v>189.29000000000002</v>
      </c>
      <c r="AM131" s="5">
        <v>0</v>
      </c>
      <c r="AN131" s="5">
        <v>188</v>
      </c>
      <c r="AO131" s="5">
        <f t="shared" si="94"/>
        <v>1.2900000000000205</v>
      </c>
      <c r="AP131" s="5">
        <f t="shared" si="104"/>
        <v>0</v>
      </c>
      <c r="AQ131" s="5">
        <v>0</v>
      </c>
      <c r="AR131" s="5">
        <v>0.02</v>
      </c>
      <c r="AS131" s="5">
        <v>0</v>
      </c>
      <c r="AT131" s="5">
        <v>137200</v>
      </c>
      <c r="AU131" s="5">
        <v>0</v>
      </c>
      <c r="AV131" s="5">
        <v>3150</v>
      </c>
      <c r="AW131" s="5">
        <v>294.07</v>
      </c>
      <c r="AX131" s="5">
        <v>3</v>
      </c>
      <c r="AY131" s="199">
        <v>0</v>
      </c>
      <c r="AZ131" s="199">
        <v>0</v>
      </c>
      <c r="BA131" s="5">
        <v>309119.63</v>
      </c>
      <c r="BB131" s="13">
        <v>907758.24</v>
      </c>
      <c r="BC131" s="190">
        <f>MAX(ROUND(IF(F131&lt;4,IF(H131=0,(SUM(Y131:AD131)*Worksheet!$E$26+Y131*Worksheet!$E$27+AR131*Worksheet!$E$39)*-BaseRate,0)),2),MIN(0,-DI131))</f>
        <v>0</v>
      </c>
      <c r="BD131" s="190">
        <f>MAX(ROUND(IF(F131=4,0,IF(I131=0,0,ROUND(SUM(Y131:AD131)*Worksheet!$E$28,2)*-BaseRate)),2),MIN(0,-DI131-BC131))</f>
        <v>-4420.54</v>
      </c>
      <c r="BE131" s="130">
        <f t="shared" si="87"/>
        <v>0</v>
      </c>
      <c r="BF131" s="130">
        <f t="shared" si="88"/>
        <v>1406</v>
      </c>
      <c r="BG131" s="73"/>
      <c r="BH131" s="191">
        <f t="shared" si="89"/>
        <v>57197.8</v>
      </c>
      <c r="BI131" s="191">
        <f t="shared" si="90"/>
        <v>12686.09</v>
      </c>
      <c r="BJ131" s="232">
        <f>IFERROR(ROUND(IF(AND(BB131*1.12&lt;N131*60/1000,N131/CL131&lt;STVPP*0.2),(CL131*STVPP*0.2*Worksheet!$F$88/1000-BB131*1.12)*PropTaxAdj,IF(BB131*1.12&lt;N131*60/1000,(N131*60/1000-BB131*1.12)*PropTaxAdj,0)),2),0)</f>
        <v>0</v>
      </c>
      <c r="BK131" s="192">
        <f>ROUND(IF($F131=4,0,Y131*Worksheet!$E$16),2)</f>
        <v>0</v>
      </c>
      <c r="BL131" s="192">
        <f>ROUND(IF($F131=4,0,Z131*Worksheet!$E$17),2)</f>
        <v>16</v>
      </c>
      <c r="BM131" s="192">
        <f>ROUND(IF($F131=4,0,AA131*Worksheet!$E$18),2)</f>
        <v>100</v>
      </c>
      <c r="BN131" s="192">
        <f>ROUND(IF($F131=4,0,AB131*Worksheet!$E$19),2)</f>
        <v>28</v>
      </c>
      <c r="BO131" s="192">
        <f>ROUND(IF($F131=4,0,AC131*Worksheet!$E$20),2)</f>
        <v>44</v>
      </c>
      <c r="BP131" s="192">
        <f>ROUND(AD131*Worksheet!$E$21,2)</f>
        <v>0</v>
      </c>
      <c r="BQ131" s="192">
        <f t="shared" si="105"/>
        <v>188</v>
      </c>
      <c r="BR131" s="192">
        <f>ROUND(AD131*Worksheet!$E$25,2)</f>
        <v>0</v>
      </c>
      <c r="BS131" s="192">
        <f>ROUND(SUM(BQ131)*Worksheet!$E$26,2)</f>
        <v>16.54</v>
      </c>
      <c r="BT131" s="192">
        <f>ROUND(Y131*Worksheet!$E$27,2)</f>
        <v>0</v>
      </c>
      <c r="BU131" s="192">
        <f>ROUND(AO131*Worksheet!$E$29,2)</f>
        <v>1.29</v>
      </c>
      <c r="BV131" s="192">
        <f>ROUND(AP131*Worksheet!$E$30,2)</f>
        <v>0</v>
      </c>
      <c r="BW131" s="192">
        <f>ROUND(IF($I131&lt;&gt;0,$BQ131*Worksheet!$E$28,0),2)</f>
        <v>0.38</v>
      </c>
      <c r="BX131" s="192">
        <f>ROUND(AE131*Worksheet!$E$31,2)</f>
        <v>0</v>
      </c>
      <c r="BY131" s="192">
        <f>ROUND(AF131*Worksheet!$E$32,2)</f>
        <v>0</v>
      </c>
      <c r="BZ131" s="192">
        <f>ROUND(AG131*Worksheet!$E$33,2)</f>
        <v>0</v>
      </c>
      <c r="CA131" s="192">
        <f>ROUND(ROUND(AH131*BQ131,2)*Worksheet!$E$34,2)</f>
        <v>1.96</v>
      </c>
      <c r="CB131" s="192">
        <f>ROUND(AI131*Worksheet!$E$35,2)</f>
        <v>0</v>
      </c>
      <c r="CC131" s="192">
        <f>ROUND(AJ131*Worksheet!$E$36,2)</f>
        <v>0</v>
      </c>
      <c r="CD131" s="192">
        <f>ROUND(AQ131*Worksheet!$E$38,2)</f>
        <v>0</v>
      </c>
      <c r="CE131" s="192">
        <f>ROUND(AR131*Worksheet!$E$39,2)</f>
        <v>0.02</v>
      </c>
      <c r="CF131" s="192">
        <f>IF(AND(L131&gt;275,SUM(Y131:AD131)&lt;100),ROUND(SUM(Y131:AD131)*Worksheet!$E$41,2),0)</f>
        <v>0</v>
      </c>
      <c r="CG131" s="192">
        <f>IF(AND(L131&gt;600,SUM(Y131:AD131)&lt;50),ROUND((50-SUM(Y131:AD131))*(Worksheet!$E$41+1),2),0)</f>
        <v>0</v>
      </c>
      <c r="CH131" s="192">
        <f t="shared" si="106"/>
        <v>208.19</v>
      </c>
      <c r="CI131" s="116">
        <f t="shared" si="95"/>
        <v>0</v>
      </c>
      <c r="CJ131" s="116">
        <f t="shared" si="96"/>
        <v>208.19</v>
      </c>
      <c r="CK131" s="95">
        <f t="shared" si="91"/>
        <v>1.2988999999999999</v>
      </c>
      <c r="CL131" s="116">
        <f t="shared" si="97"/>
        <v>270.42</v>
      </c>
      <c r="CM131" s="116">
        <f t="shared" si="98"/>
        <v>270.42</v>
      </c>
      <c r="CN131" s="116">
        <f t="shared" si="92"/>
        <v>3145795.86</v>
      </c>
      <c r="CO131" s="131">
        <f>ROUND(IF(F131=4,0,(MAX(ROUND(MAX((BI131*MIN(CL131,K131)*Worksheet!$D$126)+MAX(CL131-K131,0)*Worksheet!$F$50,SUM(J131)),2),SUM(CN131))-SUM(CN131))*MinAdj),2)</f>
        <v>46747.27</v>
      </c>
      <c r="CP131" s="192">
        <f t="shared" si="93"/>
        <v>3192543.13</v>
      </c>
      <c r="CQ131" s="131">
        <f>IF(CL131=0,0,-MIN(CP131,MIN(CP131,ROUND(IF(ROUND(IF(CL131=0,0,N131/CL131),2)&lt;STVPP*0.2,STVPP*0.2*CL131*Worksheet!$F$88/1000,N131*Worksheet!$F$88/1000),2))))</f>
        <v>-928045.8</v>
      </c>
      <c r="CR131" s="193">
        <f>-MIN(SUM(CP131,CQ131),IF($P131=0,(ROUND(Worksheet!$E$77*S131,2)+ROUND(Worksheet!$E$78*T131,2)+ROUND(Worksheet!$E$79*U131,2)+ROUND(Worksheet!$E$80*V131,2)+ROUND(Worksheet!$E$81*W131,2)+ROUND(Worksheet!$E$82*X131,2)),(ROUND(ROUND(S131*ROUND((1-$O131/$P131),4),2)*Worksheet!$E$77,2)+ROUND(ROUND(T131*ROUND((1-$O131/$P131),4),2)*Worksheet!$E$78,2)+ROUND(ROUND(U131*ROUND((1-$O131/$P131),4),2)*Worksheet!$E$79,2)+ROUND(ROUND(V131*ROUND((1-$O131/$P131),4),2)*Worksheet!$E$80,2)+ROUND(ROUND(W131*ROUND((1-$O131/$P131),4),2)*Worksheet!$E$81,2)+ROUND(ROUND(X131*ROUND((1-$O131/$P131),4),2)*Worksheet!$E$82,2))))</f>
        <v>-35637.89</v>
      </c>
      <c r="CS131" s="192">
        <f t="shared" si="107"/>
        <v>2228859.44</v>
      </c>
      <c r="CT131" s="116">
        <f>ROUND(MIN(BA131,ROUND((ROUND(AS131*Worksheet!$E$104,2)+ROUND(AV131*Worksheet!$E$107,2)+ROUND(AT131*Worksheet!$E$105,2)+ROUND(AW131*Worksheet!$E$108,2)+ROUND(AU131*Worksheet!$E$106,2)+ROUND(AX131*Worksheet!$E$109,2)+ROUND(AY131*Worksheet!$E$110,2)+ROUND(AZ131*Worksheet!$E$111,2))*Worksheet!$D$114,2))*BaseRate,2)</f>
        <v>203228.51</v>
      </c>
      <c r="CU131" s="121">
        <v>0</v>
      </c>
      <c r="CV131" s="121">
        <v>0</v>
      </c>
      <c r="CW131" s="121">
        <v>0</v>
      </c>
      <c r="CX131" s="121">
        <v>0</v>
      </c>
      <c r="CY131" s="121">
        <v>0</v>
      </c>
      <c r="DA131" s="192">
        <f t="shared" si="108"/>
        <v>0</v>
      </c>
      <c r="DB131" s="192">
        <f>MAX(-CT131,MIN(0,ROUND($R131*EFBPercent+EFBAdd,2)-$Q131),MIN(0,SUM($CS131:CS131)+MIN(0,ROUND($R131*EFBPercent+EFBAdd,2)-$Q131)))</f>
        <v>0</v>
      </c>
      <c r="DC131" s="192">
        <f>IF(CU131&lt;0,0,MAX(-CU131,MIN(0,ROUND($R131*EFBPercent+EFBAdd,2)-$Q131),MIN(0,SUM($CS131:CT131)+MIN(0,ROUND($R131*EFBPercent+EFBAdd,2)-$Q131))))</f>
        <v>0</v>
      </c>
      <c r="DD131" s="192">
        <f>IF(CV131&lt;0,0,MAX(-CV131,MIN(0,ROUND($R131*EFBPercent+EFBAdd,2)-$Q131),MIN(0,SUM($CS131:CU131)+MIN(0,ROUND($R131*EFBPercent+EFBAdd,2)-$Q131))))</f>
        <v>0</v>
      </c>
      <c r="DE131" s="192">
        <f>IF(CW131&lt;0,0,MAX(-CW131,MIN(0,ROUND($R131*EFBPercent+EFBAdd,2)-$Q131),MIN(0,SUM($CS131:CV131)+MIN(0,ROUND($R131*EFBPercent+EFBAdd,2)-$Q131))))</f>
        <v>0</v>
      </c>
      <c r="DF131" s="192">
        <f>IF(CX131&lt;0,0,MAX(-CX131,MIN(0,ROUND($R131*EFBPercent+EFBAdd,2)-$Q131),MIN(0,SUM($CS131:CW131)+MIN(0,ROUND($R131*EFBPercent+EFBAdd,2)-$Q131))))</f>
        <v>0</v>
      </c>
      <c r="DG131" s="192">
        <f>MAX(-CY131,MIN(0,ROUND($R131*EFBPercent+EFBAdd,2)-$Q131),MIN(0,SUM($CS131:CX131)+MIN(0,ROUND($R131*EFBPercent+EFBAdd,2)-$Q131)))</f>
        <v>0</v>
      </c>
      <c r="DI131" s="73">
        <f t="shared" si="109"/>
        <v>2228859.44</v>
      </c>
      <c r="DJ131" s="73">
        <f t="shared" si="110"/>
        <v>203228.51</v>
      </c>
      <c r="DK131" s="73">
        <f t="shared" si="111"/>
        <v>0</v>
      </c>
      <c r="DL131" s="73">
        <f t="shared" si="112"/>
        <v>0</v>
      </c>
      <c r="DM131" s="73">
        <f t="shared" si="113"/>
        <v>0</v>
      </c>
      <c r="DN131" s="73">
        <f t="shared" si="114"/>
        <v>0</v>
      </c>
      <c r="DO131" s="73">
        <f t="shared" si="115"/>
        <v>0</v>
      </c>
      <c r="DP131" s="73"/>
      <c r="DQ131" s="73"/>
    </row>
    <row r="132" spans="1:121" ht="10.199999999999999" x14ac:dyDescent="0.2">
      <c r="A132" s="4" t="s">
        <v>1147</v>
      </c>
      <c r="B132" s="188"/>
      <c r="C132" s="197"/>
      <c r="D132" s="4">
        <v>2027</v>
      </c>
      <c r="E132" s="4" t="s">
        <v>1148</v>
      </c>
      <c r="F132" s="4">
        <v>7</v>
      </c>
      <c r="G132" s="4" t="s">
        <v>1147</v>
      </c>
      <c r="H132" s="4">
        <v>0</v>
      </c>
      <c r="I132" s="4">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f t="shared" si="94"/>
        <v>0</v>
      </c>
      <c r="AP132" s="5">
        <v>0</v>
      </c>
      <c r="AQ132" s="5">
        <v>0</v>
      </c>
      <c r="AR132" s="5">
        <v>0</v>
      </c>
      <c r="AS132" s="5">
        <v>0</v>
      </c>
      <c r="AT132" s="5">
        <v>0</v>
      </c>
      <c r="AU132" s="5">
        <v>0</v>
      </c>
      <c r="AV132" s="5">
        <v>0</v>
      </c>
      <c r="AW132" s="5">
        <v>0</v>
      </c>
      <c r="AX132" s="5">
        <v>0</v>
      </c>
      <c r="AY132" s="199">
        <v>0</v>
      </c>
      <c r="AZ132" s="199">
        <v>0</v>
      </c>
      <c r="BA132" s="5">
        <v>0</v>
      </c>
      <c r="BB132" s="13">
        <v>0</v>
      </c>
      <c r="BC132" s="190">
        <f>MAX(ROUND(IF(F132&lt;4,IF(H132=0,(SUM(Y132:AD132)*Worksheet!$E$26+Y132*Worksheet!$E$27+AR132*Worksheet!$E$39)*-BaseRate,0)),2),MIN(0,-DI132))</f>
        <v>0</v>
      </c>
      <c r="BD132" s="190">
        <f>MAX(ROUND(IF(F132=4,0,IF(I132=0,0,ROUND(SUM(Y132:AD132)*Worksheet!$E$28,2)*-BaseRate)),2),MIN(0,-DI132-BC132))</f>
        <v>0</v>
      </c>
      <c r="BE132" s="130">
        <f t="shared" si="87"/>
        <v>0</v>
      </c>
      <c r="BF132" s="130">
        <f t="shared" si="88"/>
        <v>0</v>
      </c>
      <c r="BG132" s="73"/>
      <c r="BH132" s="191">
        <f t="shared" si="89"/>
        <v>0</v>
      </c>
      <c r="BI132" s="191">
        <f t="shared" si="90"/>
        <v>0</v>
      </c>
      <c r="BJ132" s="232">
        <f>IFERROR(ROUND(IF(AND(BB132*1.12&lt;N132*60/1000,N132/CL132&lt;STVPP*0.2),(CL132*STVPP*0.2*Worksheet!$F$88/1000-BB132*1.12)*PropTaxAdj,IF(BB132*1.12&lt;N132*60/1000,(N132*60/1000-BB132*1.12)*PropTaxAdj,0)),2),0)</f>
        <v>0</v>
      </c>
      <c r="BK132" s="192">
        <f>ROUND(IF($F132=4,0,Y132*Worksheet!$E$16),2)</f>
        <v>0</v>
      </c>
      <c r="BL132" s="192">
        <f>ROUND(IF($F132=4,0,Z132*Worksheet!$E$17),2)</f>
        <v>0</v>
      </c>
      <c r="BM132" s="192">
        <f>ROUND(IF($F132=4,0,AA132*Worksheet!$E$18),2)</f>
        <v>0</v>
      </c>
      <c r="BN132" s="192">
        <f>ROUND(IF($F132=4,0,AB132*Worksheet!$E$19),2)</f>
        <v>0</v>
      </c>
      <c r="BO132" s="192">
        <f>ROUND(IF($F132=4,0,AC132*Worksheet!$E$20),2)</f>
        <v>0</v>
      </c>
      <c r="BP132" s="192">
        <f>ROUND(AD132*Worksheet!$E$21,2)</f>
        <v>0</v>
      </c>
      <c r="BQ132" s="192">
        <f t="shared" ref="BQ132" si="116">SUM(BK132:BP132)</f>
        <v>0</v>
      </c>
      <c r="BR132" s="192">
        <f>ROUND(AD132*Worksheet!$E$25,2)</f>
        <v>0</v>
      </c>
      <c r="BS132" s="192">
        <f>ROUND(SUM(BQ132)*Worksheet!$E$26,2)</f>
        <v>0</v>
      </c>
      <c r="BT132" s="192">
        <f>ROUND(Y132*Worksheet!$E$27,2)</f>
        <v>0</v>
      </c>
      <c r="BU132" s="192">
        <f>ROUND(AO132*Worksheet!$E$29,2)</f>
        <v>0</v>
      </c>
      <c r="BV132" s="192">
        <f>ROUND(AP132*Worksheet!$E$30,2)</f>
        <v>0</v>
      </c>
      <c r="BW132" s="192">
        <f>ROUND(IF($I132&lt;&gt;0,$BQ132*Worksheet!$E$28,0),2)</f>
        <v>0</v>
      </c>
      <c r="BX132" s="192">
        <f>ROUND(AE132*Worksheet!$E$31,2)</f>
        <v>0</v>
      </c>
      <c r="BY132" s="192">
        <f>ROUND(AF132*Worksheet!$E$32,2)</f>
        <v>0</v>
      </c>
      <c r="BZ132" s="192">
        <f>ROUND(AG132*Worksheet!$E$33,2)</f>
        <v>0</v>
      </c>
      <c r="CA132" s="192">
        <f>ROUND(ROUND(AH132*BQ132,2)*Worksheet!$E$34,2)</f>
        <v>0</v>
      </c>
      <c r="CB132" s="192">
        <f>ROUND(AI132*Worksheet!$E$35,2)</f>
        <v>0</v>
      </c>
      <c r="CC132" s="192">
        <f>ROUND(AJ132*Worksheet!$E$36,2)</f>
        <v>0</v>
      </c>
      <c r="CD132" s="192">
        <f>ROUND(AQ132*Worksheet!$E$38,2)</f>
        <v>0</v>
      </c>
      <c r="CE132" s="192">
        <f>ROUND(AR132*Worksheet!$E$39,2)</f>
        <v>0</v>
      </c>
      <c r="CF132" s="192">
        <f>IF(AND(L132&gt;275,SUM(Y132:AD132)&lt;100),ROUND(SUM(Y132:AD132)*Worksheet!$E$41,2),0)</f>
        <v>0</v>
      </c>
      <c r="CG132" s="192">
        <f>IF(AND(L132&gt;600,SUM(Y132:AD132)&lt;50),ROUND((50-SUM(Y132:AD132))*(Worksheet!$E$41+1),2),0)</f>
        <v>0</v>
      </c>
      <c r="CH132" s="192">
        <f t="shared" ref="CH132" si="117">SUM(BQ132:CG132)</f>
        <v>0</v>
      </c>
      <c r="CI132" s="116">
        <f t="shared" ref="CI132" si="118">AK132</f>
        <v>0</v>
      </c>
      <c r="CJ132" s="116">
        <f t="shared" ref="CJ132" si="119">CH132-CI132</f>
        <v>0</v>
      </c>
      <c r="CK132" s="95">
        <f t="shared" si="91"/>
        <v>0</v>
      </c>
      <c r="CL132" s="116">
        <f t="shared" ref="CL132" si="120">ROUND(+CK132*CJ132,2)</f>
        <v>0</v>
      </c>
      <c r="CM132" s="116">
        <f t="shared" ref="CM132" si="121">CL132+CI132</f>
        <v>0</v>
      </c>
      <c r="CN132" s="116">
        <f t="shared" ref="CN132" si="122">ROUND(+CM132*BaseRate,2)</f>
        <v>0</v>
      </c>
      <c r="CO132" s="131">
        <f>ROUND(IF(F132=4,0,(MAX(ROUND(MAX((BI132*MIN(CL132,K132)*Worksheet!$D$126)+MAX(CL132-K132,0)*Worksheet!$F$50,SUM(J132)),2),SUM(CN132))-SUM(CN132))*MinAdj),2)</f>
        <v>0</v>
      </c>
      <c r="CP132" s="192">
        <f t="shared" ref="CP132" si="123">SUM(CN132:CO132)</f>
        <v>0</v>
      </c>
      <c r="CQ132" s="131">
        <f>IF(CL132=0,0,-MIN(CP132,MIN(CP132,ROUND(IF(ROUND(IF(CL132=0,0,N132/CL132),2)&lt;STVPP*0.2,STVPP*0.2*CL132*Worksheet!$F$88/1000,N132*Worksheet!$F$88/1000),2))))</f>
        <v>0</v>
      </c>
      <c r="CR132" s="193">
        <f>-MIN(SUM(CP132,CQ132),IF($P132=0,(ROUND(Worksheet!$E$77*S132,2)+ROUND(Worksheet!$E$78*T132,2)+ROUND(Worksheet!$E$79*U132,2)+ROUND(Worksheet!$E$80*V132,2)+ROUND(Worksheet!$E$81*W132,2)+ROUND(Worksheet!$E$82*X132,2)),(ROUND(ROUND(S132*ROUND((1-$O132/$P132),4),2)*Worksheet!$E$77,2)+ROUND(ROUND(T132*ROUND((1-$O132/$P132),4),2)*Worksheet!$E$78,2)+ROUND(ROUND(U132*ROUND((1-$O132/$P132),4),2)*Worksheet!$E$79,2)+ROUND(ROUND(V132*ROUND((1-$O132/$P132),4),2)*Worksheet!$E$80,2)+ROUND(ROUND(W132*ROUND((1-$O132/$P132),4),2)*Worksheet!$E$81,2)+ROUND(ROUND(X132*ROUND((1-$O132/$P132),4),2)*Worksheet!$E$82,2))))</f>
        <v>0</v>
      </c>
      <c r="CS132" s="192">
        <f t="shared" ref="CS132" si="124">SUM(CP132:CR132)</f>
        <v>0</v>
      </c>
      <c r="CT132" s="116">
        <f>ROUND(MIN(BA132,ROUND((ROUND(AS132*Worksheet!$E$104,2)+ROUND(AV132*Worksheet!$E$107,2)+ROUND(AT132*Worksheet!$E$105,2)+ROUND(AW132*Worksheet!$E$108,2)+ROUND(AU132*Worksheet!$E$106,2)+ROUND(AX132*Worksheet!$E$109,2)+ROUND(AY132*Worksheet!$E$110,2)+ROUND(AZ132*Worksheet!$E$111,2))*Worksheet!$D$114,2))*BaseRate,2)</f>
        <v>0</v>
      </c>
      <c r="CU132" s="121">
        <v>0</v>
      </c>
      <c r="CV132" s="121">
        <v>0</v>
      </c>
      <c r="CW132" s="121">
        <v>0</v>
      </c>
      <c r="CX132" s="121">
        <v>0</v>
      </c>
      <c r="CY132" s="121">
        <v>0</v>
      </c>
      <c r="DA132" s="192">
        <f t="shared" ref="DA132" si="125">MAX(-CS132,MIN(0,ROUND($R132*EFBPercent+EFBAdd,2)-$Q132))</f>
        <v>0</v>
      </c>
      <c r="DB132" s="192">
        <f>MAX(-CT132,MIN(0,ROUND($R132*EFBPercent+EFBAdd,2)-$Q132),MIN(0,SUM($CS132:CS132)+MIN(0,ROUND($R132*EFBPercent+EFBAdd,2)-$Q132)))</f>
        <v>0</v>
      </c>
      <c r="DC132" s="192">
        <f>IF(CU132&lt;0,0,MAX(-CU132,MIN(0,ROUND($R132*EFBPercent+EFBAdd,2)-$Q132),MIN(0,SUM($CS132:CT132)+MIN(0,ROUND($R132*EFBPercent+EFBAdd,2)-$Q132))))</f>
        <v>0</v>
      </c>
      <c r="DD132" s="192">
        <f>IF(CV132&lt;0,0,MAX(-CV132,MIN(0,ROUND($R132*EFBPercent+EFBAdd,2)-$Q132),MIN(0,SUM($CS132:CU132)+MIN(0,ROUND($R132*EFBPercent+EFBAdd,2)-$Q132))))</f>
        <v>0</v>
      </c>
      <c r="DE132" s="192">
        <f>IF(CW132&lt;0,0,MAX(-CW132,MIN(0,ROUND($R132*EFBPercent+EFBAdd,2)-$Q132),MIN(0,SUM($CS132:CV132)+MIN(0,ROUND($R132*EFBPercent+EFBAdd,2)-$Q132))))</f>
        <v>0</v>
      </c>
      <c r="DF132" s="192">
        <f>IF(CX132&lt;0,0,MAX(-CX132,MIN(0,ROUND($R132*EFBPercent+EFBAdd,2)-$Q132),MIN(0,SUM($CS132:CW132)+MIN(0,ROUND($R132*EFBPercent+EFBAdd,2)-$Q132))))</f>
        <v>0</v>
      </c>
      <c r="DG132" s="192">
        <f>MAX(-CY132,MIN(0,ROUND($R132*EFBPercent+EFBAdd,2)-$Q132),MIN(0,SUM($CS132:CX132)+MIN(0,ROUND($R132*EFBPercent+EFBAdd,2)-$Q132)))</f>
        <v>0</v>
      </c>
      <c r="DI132" s="73">
        <f t="shared" ref="DI132" si="126">+CS132+DA132</f>
        <v>0</v>
      </c>
      <c r="DJ132" s="73">
        <f t="shared" ref="DJ132" si="127">+CT132+DB132</f>
        <v>0</v>
      </c>
      <c r="DK132" s="73">
        <f t="shared" ref="DK132" si="128">+CU132+DC132</f>
        <v>0</v>
      </c>
      <c r="DL132" s="73">
        <f t="shared" ref="DL132" si="129">+CV132+DD132</f>
        <v>0</v>
      </c>
      <c r="DM132" s="73">
        <f t="shared" ref="DM132" si="130">+CW132+DE132</f>
        <v>0</v>
      </c>
      <c r="DN132" s="73">
        <f t="shared" ref="DN132" si="131">+CX132+DF132</f>
        <v>0</v>
      </c>
      <c r="DO132" s="73">
        <f t="shared" ref="DO132" si="132">+CY132+DG132</f>
        <v>0</v>
      </c>
      <c r="DP132" s="73"/>
      <c r="DQ132" s="73"/>
    </row>
    <row r="133" spans="1:121" ht="10.199999999999999" x14ac:dyDescent="0.2">
      <c r="A133" s="4" t="s">
        <v>600</v>
      </c>
      <c r="B133" s="188">
        <v>1140</v>
      </c>
      <c r="C133" s="189" t="s">
        <v>125</v>
      </c>
      <c r="D133" s="4">
        <v>2027</v>
      </c>
      <c r="E133" s="4" t="s">
        <v>439</v>
      </c>
      <c r="F133" s="4">
        <v>1</v>
      </c>
      <c r="G133" s="4" t="s">
        <v>1130</v>
      </c>
      <c r="H133" s="4">
        <v>100</v>
      </c>
      <c r="I133" s="4" t="s">
        <v>855</v>
      </c>
      <c r="J133" s="5">
        <v>6842339.75</v>
      </c>
      <c r="K133" s="5">
        <v>698.78</v>
      </c>
      <c r="L133" s="5">
        <v>937.42</v>
      </c>
      <c r="M133" s="5">
        <v>0</v>
      </c>
      <c r="N133" s="5">
        <v>32017697</v>
      </c>
      <c r="O133" s="5">
        <v>21.26</v>
      </c>
      <c r="P133" s="5">
        <v>112.38000000000002</v>
      </c>
      <c r="Q133" s="5">
        <v>0</v>
      </c>
      <c r="R133" s="5">
        <v>0</v>
      </c>
      <c r="S133" s="5">
        <v>8894.64</v>
      </c>
      <c r="T133" s="5">
        <v>202.14</v>
      </c>
      <c r="U133" s="5">
        <v>0</v>
      </c>
      <c r="V133" s="5">
        <v>26086.45</v>
      </c>
      <c r="W133" s="5">
        <v>19824.510000000002</v>
      </c>
      <c r="X133" s="5">
        <v>52957.05</v>
      </c>
      <c r="Y133" s="5">
        <v>0.56999999999999995</v>
      </c>
      <c r="Z133" s="5">
        <v>29</v>
      </c>
      <c r="AA133" s="5">
        <v>224</v>
      </c>
      <c r="AB133" s="5">
        <v>103</v>
      </c>
      <c r="AC133" s="5">
        <v>203</v>
      </c>
      <c r="AD133" s="5">
        <v>0</v>
      </c>
      <c r="AE133" s="5">
        <v>0</v>
      </c>
      <c r="AF133" s="5">
        <v>1</v>
      </c>
      <c r="AG133" s="5">
        <v>3</v>
      </c>
      <c r="AH133" s="5">
        <v>0.32400000000000001</v>
      </c>
      <c r="AI133" s="5">
        <v>0</v>
      </c>
      <c r="AJ133" s="5">
        <v>0</v>
      </c>
      <c r="AK133" s="5">
        <v>0</v>
      </c>
      <c r="AL133" s="5">
        <v>547</v>
      </c>
      <c r="AM133" s="5">
        <v>0</v>
      </c>
      <c r="AN133" s="5">
        <v>559</v>
      </c>
      <c r="AO133" s="5">
        <f t="shared" si="94"/>
        <v>0</v>
      </c>
      <c r="AP133" s="5">
        <f t="shared" ref="AP133:AP135" si="133">IF(AM133&gt;0,SUM(Z133:AD133)-AN133,0)</f>
        <v>0</v>
      </c>
      <c r="AQ133" s="5">
        <v>3.33</v>
      </c>
      <c r="AR133" s="5">
        <v>0</v>
      </c>
      <c r="AS133" s="5">
        <v>0</v>
      </c>
      <c r="AT133" s="5">
        <v>209448</v>
      </c>
      <c r="AU133" s="5">
        <v>0</v>
      </c>
      <c r="AV133" s="5">
        <v>3538</v>
      </c>
      <c r="AW133" s="5">
        <v>937.42</v>
      </c>
      <c r="AX133" s="5">
        <v>2</v>
      </c>
      <c r="AY133" s="199">
        <v>0</v>
      </c>
      <c r="AZ133" s="199">
        <v>0</v>
      </c>
      <c r="BA133" s="5">
        <v>567394.91</v>
      </c>
      <c r="BB133" s="13">
        <v>1896153.6</v>
      </c>
      <c r="BC133" s="190">
        <f>MAX(ROUND(IF(F133&lt;4,IF(H133=0,(SUM(Y133:AD133)*Worksheet!$E$26+Y133*Worksheet!$E$27+AR133*Worksheet!$E$39)*-BaseRate,0)),2),MIN(0,-DI133))</f>
        <v>0</v>
      </c>
      <c r="BD133" s="190">
        <f>MAX(ROUND(IF(F133=4,0,IF(I133=0,0,ROUND(SUM(Y133:AD133)*Worksheet!$E$28,2)*-BaseRate)),2),MIN(0,-DI133-BC133))</f>
        <v>-13028.96</v>
      </c>
      <c r="BE133" s="130">
        <f t="shared" ref="BE133:BE196" si="134">IF($BC133=0,0,VLOOKUP($G133,$A$5:$B$210,2,FALSE))</f>
        <v>0</v>
      </c>
      <c r="BF133" s="130">
        <f t="shared" ref="BF133:BF196" si="135">IF($BD133=0,0,VLOOKUP($I133,$A$5:$B$210,2,FALSE))</f>
        <v>1404</v>
      </c>
      <c r="BG133" s="73"/>
      <c r="BH133" s="191">
        <f t="shared" ref="BH133:BH196" si="136">ROUND(IF(CL133=0,0,IF(N133/CL133&lt;0.2*STVPP,STVPP*0.2,N133/CL133)),2)</f>
        <v>50871</v>
      </c>
      <c r="BI133" s="191">
        <f t="shared" ref="BI133:BI196" si="137">IF(K133=0,0,ROUND(J133/K133,2))</f>
        <v>9791.84</v>
      </c>
      <c r="BJ133" s="232">
        <f>IFERROR(ROUND(IF(AND(BB133*1.12&lt;N133*60/1000,N133/CL133&lt;STVPP*0.2),(CL133*STVPP*0.2*Worksheet!$F$88/1000-BB133*1.12)*PropTaxAdj,IF(BB133*1.12&lt;N133*60/1000,(N133*60/1000-BB133*1.12)*PropTaxAdj,0)),2),0)</f>
        <v>0</v>
      </c>
      <c r="BK133" s="192">
        <f>ROUND(IF($F133=4,0,Y133*Worksheet!$E$16),2)</f>
        <v>0.56999999999999995</v>
      </c>
      <c r="BL133" s="192">
        <f>ROUND(IF($F133=4,0,Z133*Worksheet!$E$17),2)</f>
        <v>29</v>
      </c>
      <c r="BM133" s="192">
        <f>ROUND(IF($F133=4,0,AA133*Worksheet!$E$18),2)</f>
        <v>224</v>
      </c>
      <c r="BN133" s="192">
        <f>ROUND(IF($F133=4,0,AB133*Worksheet!$E$19),2)</f>
        <v>103</v>
      </c>
      <c r="BO133" s="192">
        <f>ROUND(IF($F133=4,0,AC133*Worksheet!$E$20),2)</f>
        <v>203</v>
      </c>
      <c r="BP133" s="192">
        <f>ROUND(AD133*Worksheet!$E$21,2)</f>
        <v>0</v>
      </c>
      <c r="BQ133" s="192">
        <f t="shared" si="105"/>
        <v>559.56999999999994</v>
      </c>
      <c r="BR133" s="192">
        <f>ROUND(AD133*Worksheet!$E$25,2)</f>
        <v>0</v>
      </c>
      <c r="BS133" s="192">
        <f>ROUND(SUM(BQ133)*Worksheet!$E$26,2)</f>
        <v>49.24</v>
      </c>
      <c r="BT133" s="192">
        <f>ROUND(Y133*Worksheet!$E$27,2)</f>
        <v>0.1</v>
      </c>
      <c r="BU133" s="192">
        <f>ROUND(AO133*Worksheet!$E$29,2)</f>
        <v>0</v>
      </c>
      <c r="BV133" s="192">
        <f>ROUND(AP133*Worksheet!$E$30,2)</f>
        <v>0</v>
      </c>
      <c r="BW133" s="192">
        <f>ROUND(IF($I133&lt;&gt;0,$BQ133*Worksheet!$E$28,0),2)</f>
        <v>1.1200000000000001</v>
      </c>
      <c r="BX133" s="192">
        <f>ROUND(AE133*Worksheet!$E$31,2)</f>
        <v>0</v>
      </c>
      <c r="BY133" s="192">
        <f>ROUND(AF133*Worksheet!$E$32,2)</f>
        <v>0.28000000000000003</v>
      </c>
      <c r="BZ133" s="192">
        <f>ROUND(AG133*Worksheet!$E$33,2)</f>
        <v>0.21</v>
      </c>
      <c r="CA133" s="192">
        <f>ROUND(ROUND(AH133*BQ133,2)*Worksheet!$E$34,2)</f>
        <v>4.53</v>
      </c>
      <c r="CB133" s="192">
        <f>ROUND(AI133*Worksheet!$E$35,2)</f>
        <v>0</v>
      </c>
      <c r="CC133" s="192">
        <f>ROUND(AJ133*Worksheet!$E$36,2)</f>
        <v>0</v>
      </c>
      <c r="CD133" s="192">
        <f>ROUND(AQ133*Worksheet!$E$38,2)</f>
        <v>2</v>
      </c>
      <c r="CE133" s="192">
        <f>ROUND(AR133*Worksheet!$E$39,2)</f>
        <v>0</v>
      </c>
      <c r="CF133" s="192">
        <f>IF(AND(L133&gt;275,SUM(Y133:AD133)&lt;100),ROUND(SUM(Y133:AD133)*Worksheet!$E$41,2),0)</f>
        <v>0</v>
      </c>
      <c r="CG133" s="192">
        <f>IF(AND(L133&gt;600,SUM(Y133:AD133)&lt;50),ROUND((50-SUM(Y133:AD133))*(Worksheet!$E$41+1),2),0)</f>
        <v>0</v>
      </c>
      <c r="CH133" s="192">
        <f t="shared" si="106"/>
        <v>617.04999999999995</v>
      </c>
      <c r="CI133" s="116">
        <f t="shared" si="95"/>
        <v>0</v>
      </c>
      <c r="CJ133" s="116">
        <f t="shared" si="96"/>
        <v>617.04999999999995</v>
      </c>
      <c r="CK133" s="95">
        <f t="shared" ref="CK133:CK196" si="138">ROUND(IF(BQ133=0,0,IF(M133=0,IF(F133=1,MAX(VLOOKUP(BQ133,FactorTable,4,TRUE),VLOOKUP(BQ133,FactorTable,5,TRUE)/BQ133),MAX(VLOOKUP(ROUND(BQ133/0.6,2),FactorTable,4,TRUE),VLOOKUP(ROUND(BQ133/0.6,2),FactorTable,5,TRUE)/(ROUND(BQ133/0.6,2)))),VLOOKUP(A133,FactorTableR,5,FALSE))),4)</f>
        <v>1.02</v>
      </c>
      <c r="CL133" s="116">
        <f t="shared" si="97"/>
        <v>629.39</v>
      </c>
      <c r="CM133" s="116">
        <f t="shared" si="98"/>
        <v>629.39</v>
      </c>
      <c r="CN133" s="116">
        <f t="shared" ref="CN133:CN194" si="139">ROUND(+CM133*BaseRate,2)</f>
        <v>7321693.8700000001</v>
      </c>
      <c r="CO133" s="131">
        <f>ROUND(IF(F133=4,0,(MAX(ROUND(MAX((BI133*MIN(CL133,K133)*Worksheet!$D$126)+MAX(CL133-K133,0)*Worksheet!$F$50,SUM(J133)),2),SUM(CN133))-SUM(CN133))*MinAdj),2)</f>
        <v>0</v>
      </c>
      <c r="CP133" s="192">
        <f t="shared" ref="CP133:CP194" si="140">SUM(CN133:CO133)</f>
        <v>7321693.8700000001</v>
      </c>
      <c r="CQ133" s="131">
        <f>IF(CL133=0,0,-MIN(CP133,MIN(CP133,ROUND(IF(ROUND(IF(CL133=0,0,N133/CL133),2)&lt;STVPP*0.2,STVPP*0.2*CL133*Worksheet!$F$88/1000,N133*Worksheet!$F$88/1000),2))))</f>
        <v>-1921061.82</v>
      </c>
      <c r="CR133" s="193">
        <f>-MIN(SUM(CP133,CQ133),IF($P133=0,(ROUND(Worksheet!$E$77*S133,2)+ROUND(Worksheet!$E$78*T133,2)+ROUND(Worksheet!$E$79*U133,2)+ROUND(Worksheet!$E$80*V133,2)+ROUND(Worksheet!$E$81*W133,2)+ROUND(Worksheet!$E$82*X133,2)),(ROUND(ROUND(S133*ROUND((1-$O133/$P133),4),2)*Worksheet!$E$77,2)+ROUND(ROUND(T133*ROUND((1-$O133/$P133),4),2)*Worksheet!$E$78,2)+ROUND(ROUND(U133*ROUND((1-$O133/$P133),4),2)*Worksheet!$E$79,2)+ROUND(ROUND(V133*ROUND((1-$O133/$P133),4),2)*Worksheet!$E$80,2)+ROUND(ROUND(W133*ROUND((1-$O133/$P133),4),2)*Worksheet!$E$81,2)+ROUND(ROUND(X133*ROUND((1-$O133/$P133),4),2)*Worksheet!$E$82,2))))</f>
        <v>-65653.399999999994</v>
      </c>
      <c r="CS133" s="192">
        <f t="shared" si="107"/>
        <v>5334978.6499999994</v>
      </c>
      <c r="CT133" s="116">
        <f>ROUND(MIN(BA133,ROUND((ROUND(AS133*Worksheet!$E$104,2)+ROUND(AV133*Worksheet!$E$107,2)+ROUND(AT133*Worksheet!$E$105,2)+ROUND(AW133*Worksheet!$E$108,2)+ROUND(AU133*Worksheet!$E$106,2)+ROUND(AX133*Worksheet!$E$109,2)+ROUND(AY133*Worksheet!$E$110,2)+ROUND(AZ133*Worksheet!$E$111,2))*Worksheet!$D$114,2))*BaseRate,2)</f>
        <v>297455.81</v>
      </c>
      <c r="CU133" s="121">
        <v>0</v>
      </c>
      <c r="CV133" s="121">
        <v>0</v>
      </c>
      <c r="CW133" s="121">
        <v>0</v>
      </c>
      <c r="CX133" s="121">
        <v>0</v>
      </c>
      <c r="CY133" s="121">
        <v>0</v>
      </c>
      <c r="DA133" s="192">
        <f t="shared" si="108"/>
        <v>0</v>
      </c>
      <c r="DB133" s="192">
        <f>MAX(-CT133,MIN(0,ROUND($R133*EFBPercent+EFBAdd,2)-$Q133),MIN(0,SUM($CS133:CS133)+MIN(0,ROUND($R133*EFBPercent+EFBAdd,2)-$Q133)))</f>
        <v>0</v>
      </c>
      <c r="DC133" s="192">
        <f>IF(CU133&lt;0,0,MAX(-CU133,MIN(0,ROUND($R133*EFBPercent+EFBAdd,2)-$Q133),MIN(0,SUM($CS133:CT133)+MIN(0,ROUND($R133*EFBPercent+EFBAdd,2)-$Q133))))</f>
        <v>0</v>
      </c>
      <c r="DD133" s="192">
        <f>IF(CV133&lt;0,0,MAX(-CV133,MIN(0,ROUND($R133*EFBPercent+EFBAdd,2)-$Q133),MIN(0,SUM($CS133:CU133)+MIN(0,ROUND($R133*EFBPercent+EFBAdd,2)-$Q133))))</f>
        <v>0</v>
      </c>
      <c r="DE133" s="192">
        <f>IF(CW133&lt;0,0,MAX(-CW133,MIN(0,ROUND($R133*EFBPercent+EFBAdd,2)-$Q133),MIN(0,SUM($CS133:CV133)+MIN(0,ROUND($R133*EFBPercent+EFBAdd,2)-$Q133))))</f>
        <v>0</v>
      </c>
      <c r="DF133" s="192">
        <f>IF(CX133&lt;0,0,MAX(-CX133,MIN(0,ROUND($R133*EFBPercent+EFBAdd,2)-$Q133),MIN(0,SUM($CS133:CW133)+MIN(0,ROUND($R133*EFBPercent+EFBAdd,2)-$Q133))))</f>
        <v>0</v>
      </c>
      <c r="DG133" s="192">
        <f>MAX(-CY133,MIN(0,ROUND($R133*EFBPercent+EFBAdd,2)-$Q133),MIN(0,SUM($CS133:CX133)+MIN(0,ROUND($R133*EFBPercent+EFBAdd,2)-$Q133)))</f>
        <v>0</v>
      </c>
      <c r="DI133" s="73">
        <f t="shared" si="109"/>
        <v>5334978.6499999994</v>
      </c>
      <c r="DJ133" s="73">
        <f t="shared" si="110"/>
        <v>297455.81</v>
      </c>
      <c r="DK133" s="73">
        <f t="shared" si="111"/>
        <v>0</v>
      </c>
      <c r="DL133" s="73">
        <f t="shared" si="112"/>
        <v>0</v>
      </c>
      <c r="DM133" s="73">
        <f t="shared" si="113"/>
        <v>0</v>
      </c>
      <c r="DN133" s="73">
        <f t="shared" si="114"/>
        <v>0</v>
      </c>
      <c r="DO133" s="73">
        <f t="shared" si="115"/>
        <v>0</v>
      </c>
      <c r="DP133" s="73"/>
      <c r="DQ133" s="73"/>
    </row>
    <row r="134" spans="1:121" ht="10.199999999999999" x14ac:dyDescent="0.2">
      <c r="A134" s="4" t="s">
        <v>601</v>
      </c>
      <c r="B134" s="188">
        <v>1025</v>
      </c>
      <c r="C134" s="189" t="s">
        <v>126</v>
      </c>
      <c r="D134" s="4">
        <v>2027</v>
      </c>
      <c r="E134" s="4" t="s">
        <v>440</v>
      </c>
      <c r="F134" s="4">
        <v>1</v>
      </c>
      <c r="G134" s="4" t="s">
        <v>675</v>
      </c>
      <c r="H134" s="4">
        <v>0</v>
      </c>
      <c r="I134" s="4" t="s">
        <v>849</v>
      </c>
      <c r="J134" s="5">
        <v>17972330.739999998</v>
      </c>
      <c r="K134" s="5">
        <v>1863.19</v>
      </c>
      <c r="L134" s="5">
        <v>472.63</v>
      </c>
      <c r="M134" s="5">
        <v>0</v>
      </c>
      <c r="N134" s="5">
        <v>61148762</v>
      </c>
      <c r="O134" s="5">
        <v>38.049999999999997</v>
      </c>
      <c r="P134" s="5">
        <v>133.05000000000001</v>
      </c>
      <c r="Q134" s="5">
        <v>0</v>
      </c>
      <c r="R134" s="5">
        <v>0</v>
      </c>
      <c r="S134" s="5">
        <v>12800</v>
      </c>
      <c r="T134" s="5">
        <v>0</v>
      </c>
      <c r="U134" s="5">
        <v>0</v>
      </c>
      <c r="V134" s="5">
        <v>37486.080000000002</v>
      </c>
      <c r="W134" s="5">
        <v>27174.82</v>
      </c>
      <c r="X134" s="5">
        <v>86459.28</v>
      </c>
      <c r="Y134" s="5">
        <v>15.16</v>
      </c>
      <c r="Z134" s="5">
        <v>139</v>
      </c>
      <c r="AA134" s="5">
        <v>833</v>
      </c>
      <c r="AB134" s="5">
        <v>263</v>
      </c>
      <c r="AC134" s="5">
        <v>519.67999999999995</v>
      </c>
      <c r="AD134" s="5">
        <v>39.32</v>
      </c>
      <c r="AE134" s="5">
        <v>1</v>
      </c>
      <c r="AF134" s="5">
        <v>2.89</v>
      </c>
      <c r="AG134" s="5">
        <v>3</v>
      </c>
      <c r="AH134" s="5">
        <v>0.45500000000000002</v>
      </c>
      <c r="AI134" s="5">
        <v>0</v>
      </c>
      <c r="AJ134" s="5">
        <v>0</v>
      </c>
      <c r="AK134" s="5">
        <v>0</v>
      </c>
      <c r="AL134" s="5">
        <v>1802.55</v>
      </c>
      <c r="AM134" s="5">
        <v>13.100000000000136</v>
      </c>
      <c r="AN134" s="5">
        <v>1794</v>
      </c>
      <c r="AO134" s="5">
        <f t="shared" ref="AO134:AO197" si="141">MAX(AL134-SUM(Z134:AD134),0)</f>
        <v>8.5500000000001819</v>
      </c>
      <c r="AP134" s="5">
        <f t="shared" si="133"/>
        <v>-2.2737367544323206E-13</v>
      </c>
      <c r="AQ134" s="5">
        <v>73.13</v>
      </c>
      <c r="AR134" s="5">
        <v>0.69</v>
      </c>
      <c r="AS134" s="5">
        <v>0</v>
      </c>
      <c r="AT134" s="5">
        <v>310242</v>
      </c>
      <c r="AU134" s="5">
        <v>0</v>
      </c>
      <c r="AV134" s="5">
        <v>10304</v>
      </c>
      <c r="AW134" s="5">
        <v>472.63</v>
      </c>
      <c r="AX134" s="5">
        <v>5</v>
      </c>
      <c r="AY134" s="199">
        <v>28000</v>
      </c>
      <c r="AZ134" s="199">
        <v>0</v>
      </c>
      <c r="BA134" s="5">
        <v>1052350.46</v>
      </c>
      <c r="BB134" s="13">
        <v>3472883.94</v>
      </c>
      <c r="BC134" s="190">
        <f>MAX(ROUND(IF(F134&lt;4,IF(H134=0,(SUM(Y134:AD134)*Worksheet!$E$26+Y134*Worksheet!$E$27+AR134*Worksheet!$E$39)*-BaseRate,0)),2),MIN(0,-DI134))</f>
        <v>-1890051.67</v>
      </c>
      <c r="BD134" s="190">
        <f>MAX(ROUND(IF(F134=4,0,IF(I134=0,0,ROUND(SUM(Y134:AD134)*Worksheet!$E$28,2)*-BaseRate)),2),MIN(0,-DI134-BC134))</f>
        <v>-42111.46</v>
      </c>
      <c r="BE134" s="130">
        <f t="shared" si="134"/>
        <v>2514</v>
      </c>
      <c r="BF134" s="130">
        <f t="shared" si="135"/>
        <v>1405</v>
      </c>
      <c r="BG134" s="73"/>
      <c r="BH134" s="191">
        <f t="shared" si="136"/>
        <v>29690.78</v>
      </c>
      <c r="BI134" s="191">
        <f t="shared" si="137"/>
        <v>9646</v>
      </c>
      <c r="BJ134" s="232">
        <f>IFERROR(ROUND(IF(AND(BB134*1.12&lt;N134*60/1000,N134/CL134&lt;STVPP*0.2),(CL134*STVPP*0.2*Worksheet!$F$88/1000-BB134*1.12)*PropTaxAdj,IF(BB134*1.12&lt;N134*60/1000,(N134*60/1000-BB134*1.12)*PropTaxAdj,0)),2),0)</f>
        <v>0</v>
      </c>
      <c r="BK134" s="192">
        <f>ROUND(IF($F134=4,0,Y134*Worksheet!$E$16),2)</f>
        <v>15.16</v>
      </c>
      <c r="BL134" s="192">
        <f>ROUND(IF($F134=4,0,Z134*Worksheet!$E$17),2)</f>
        <v>139</v>
      </c>
      <c r="BM134" s="192">
        <f>ROUND(IF($F134=4,0,AA134*Worksheet!$E$18),2)</f>
        <v>833</v>
      </c>
      <c r="BN134" s="192">
        <f>ROUND(IF($F134=4,0,AB134*Worksheet!$E$19),2)</f>
        <v>263</v>
      </c>
      <c r="BO134" s="192">
        <f>ROUND(IF($F134=4,0,AC134*Worksheet!$E$20),2)</f>
        <v>519.67999999999995</v>
      </c>
      <c r="BP134" s="192">
        <f>ROUND(AD134*Worksheet!$E$21,2)</f>
        <v>39.32</v>
      </c>
      <c r="BQ134" s="192">
        <f t="shared" si="105"/>
        <v>1809.1599999999996</v>
      </c>
      <c r="BR134" s="192">
        <f>ROUND(AD134*Worksheet!$E$25,2)</f>
        <v>9.83</v>
      </c>
      <c r="BS134" s="192">
        <f>ROUND(SUM(BQ134)*Worksheet!$E$26,2)</f>
        <v>159.21</v>
      </c>
      <c r="BT134" s="192">
        <f>ROUND(Y134*Worksheet!$E$27,2)</f>
        <v>2.58</v>
      </c>
      <c r="BU134" s="192">
        <f>ROUND(AO134*Worksheet!$E$29,2)</f>
        <v>8.5500000000000007</v>
      </c>
      <c r="BV134" s="192">
        <f>ROUND(AP134*Worksheet!$E$30,2)</f>
        <v>0</v>
      </c>
      <c r="BW134" s="192">
        <f>ROUND(IF($I134&lt;&gt;0,$BQ134*Worksheet!$E$28,0),2)</f>
        <v>3.62</v>
      </c>
      <c r="BX134" s="192">
        <f>ROUND(AE134*Worksheet!$E$31,2)</f>
        <v>0.4</v>
      </c>
      <c r="BY134" s="192">
        <f>ROUND(AF134*Worksheet!$E$32,2)</f>
        <v>0.81</v>
      </c>
      <c r="BZ134" s="192">
        <f>ROUND(AG134*Worksheet!$E$33,2)</f>
        <v>0.21</v>
      </c>
      <c r="CA134" s="192">
        <f>ROUND(ROUND(AH134*BQ134,2)*Worksheet!$E$34,2)</f>
        <v>20.58</v>
      </c>
      <c r="CB134" s="192">
        <f>ROUND(AI134*Worksheet!$E$35,2)</f>
        <v>0</v>
      </c>
      <c r="CC134" s="192">
        <f>ROUND(AJ134*Worksheet!$E$36,2)</f>
        <v>0</v>
      </c>
      <c r="CD134" s="192">
        <f>ROUND(AQ134*Worksheet!$E$38,2)</f>
        <v>43.88</v>
      </c>
      <c r="CE134" s="192">
        <f>ROUND(AR134*Worksheet!$E$39,2)</f>
        <v>0.69</v>
      </c>
      <c r="CF134" s="192">
        <f>IF(AND(L134&gt;275,SUM(Y134:AD134)&lt;100),ROUND(SUM(Y134:AD134)*Worksheet!$E$41,2),0)</f>
        <v>0</v>
      </c>
      <c r="CG134" s="192">
        <f>IF(AND(L134&gt;600,SUM(Y134:AD134)&lt;50),ROUND((50-SUM(Y134:AD134))*(Worksheet!$E$41+1),2),0)</f>
        <v>0</v>
      </c>
      <c r="CH134" s="192">
        <f t="shared" si="106"/>
        <v>2059.5199999999995</v>
      </c>
      <c r="CI134" s="116">
        <f t="shared" ref="CI134:CI195" si="142">AK134</f>
        <v>0</v>
      </c>
      <c r="CJ134" s="116">
        <f t="shared" ref="CJ134:CJ195" si="143">CH134-CI134</f>
        <v>2059.5199999999995</v>
      </c>
      <c r="CK134" s="95">
        <f t="shared" si="138"/>
        <v>1</v>
      </c>
      <c r="CL134" s="116">
        <f t="shared" ref="CL134:CL195" si="144">ROUND(+CK134*CJ134,2)</f>
        <v>2059.52</v>
      </c>
      <c r="CM134" s="116">
        <f t="shared" ref="CM134:CM195" si="145">CL134+CI134</f>
        <v>2059.52</v>
      </c>
      <c r="CN134" s="116">
        <f t="shared" si="139"/>
        <v>23958396.16</v>
      </c>
      <c r="CO134" s="131">
        <f>ROUND(IF(F134=4,0,(MAX(ROUND(MAX((BI134*MIN(CL134,K134)*Worksheet!$D$126)+MAX(CL134-K134,0)*Worksheet!$F$50,SUM(J134)),2),SUM(CN134))-SUM(CN134))*MinAdj),2)</f>
        <v>0</v>
      </c>
      <c r="CP134" s="192">
        <f t="shared" si="140"/>
        <v>23958396.16</v>
      </c>
      <c r="CQ134" s="131">
        <f>IF(CL134=0,0,-MIN(CP134,MIN(CP134,ROUND(IF(ROUND(IF(CL134=0,0,N134/CL134),2)&lt;STVPP*0.2,STVPP*0.2*CL134*Worksheet!$F$88/1000,N134*Worksheet!$F$88/1000),2))))</f>
        <v>-3668925.72</v>
      </c>
      <c r="CR134" s="193">
        <f>-MIN(SUM(CP134,CQ134),IF($P134=0,(ROUND(Worksheet!$E$77*S134,2)+ROUND(Worksheet!$E$78*T134,2)+ROUND(Worksheet!$E$79*U134,2)+ROUND(Worksheet!$E$80*V134,2)+ROUND(Worksheet!$E$81*W134,2)+ROUND(Worksheet!$E$82*X134,2)),(ROUND(ROUND(S134*ROUND((1-$O134/$P134),4),2)*Worksheet!$E$77,2)+ROUND(ROUND(T134*ROUND((1-$O134/$P134),4),2)*Worksheet!$E$78,2)+ROUND(ROUND(U134*ROUND((1-$O134/$P134),4),2)*Worksheet!$E$79,2)+ROUND(ROUND(V134*ROUND((1-$O134/$P134),4),2)*Worksheet!$E$80,2)+ROUND(ROUND(W134*ROUND((1-$O134/$P134),4),2)*Worksheet!$E$81,2)+ROUND(ROUND(X134*ROUND((1-$O134/$P134),4),2)*Worksheet!$E$82,2))))</f>
        <v>-87779.26999999999</v>
      </c>
      <c r="CS134" s="192">
        <f t="shared" si="107"/>
        <v>20201691.170000002</v>
      </c>
      <c r="CT134" s="116">
        <f>ROUND(MIN(BA134,ROUND((ROUND(AS134*Worksheet!$E$104,2)+ROUND(AV134*Worksheet!$E$107,2)+ROUND(AT134*Worksheet!$E$105,2)+ROUND(AW134*Worksheet!$E$108,2)+ROUND(AU134*Worksheet!$E$106,2)+ROUND(AX134*Worksheet!$E$109,2)+ROUND(AY134*Worksheet!$E$110,2)+ROUND(AZ134*Worksheet!$E$111,2))*Worksheet!$D$114,2))*BaseRate,2)</f>
        <v>494402.5</v>
      </c>
      <c r="CU134" s="121">
        <v>17.760000000000002</v>
      </c>
      <c r="CV134" s="121">
        <v>0</v>
      </c>
      <c r="CW134" s="121">
        <v>0</v>
      </c>
      <c r="CX134" s="121">
        <v>0</v>
      </c>
      <c r="CY134" s="121">
        <v>0</v>
      </c>
      <c r="DA134" s="192">
        <f t="shared" si="108"/>
        <v>0</v>
      </c>
      <c r="DB134" s="192">
        <f>MAX(-CT134,MIN(0,ROUND($R134*EFBPercent+EFBAdd,2)-$Q134),MIN(0,SUM($CS134:CS134)+MIN(0,ROUND($R134*EFBPercent+EFBAdd,2)-$Q134)))</f>
        <v>0</v>
      </c>
      <c r="DC134" s="192">
        <f>IF(CU134&lt;0,0,MAX(-CU134,MIN(0,ROUND($R134*EFBPercent+EFBAdd,2)-$Q134),MIN(0,SUM($CS134:CT134)+MIN(0,ROUND($R134*EFBPercent+EFBAdd,2)-$Q134))))</f>
        <v>0</v>
      </c>
      <c r="DD134" s="192">
        <f>IF(CV134&lt;0,0,MAX(-CV134,MIN(0,ROUND($R134*EFBPercent+EFBAdd,2)-$Q134),MIN(0,SUM($CS134:CU134)+MIN(0,ROUND($R134*EFBPercent+EFBAdd,2)-$Q134))))</f>
        <v>0</v>
      </c>
      <c r="DE134" s="192">
        <f>IF(CW134&lt;0,0,MAX(-CW134,MIN(0,ROUND($R134*EFBPercent+EFBAdd,2)-$Q134),MIN(0,SUM($CS134:CV134)+MIN(0,ROUND($R134*EFBPercent+EFBAdd,2)-$Q134))))</f>
        <v>0</v>
      </c>
      <c r="DF134" s="192">
        <f>IF(CX134&lt;0,0,MAX(-CX134,MIN(0,ROUND($R134*EFBPercent+EFBAdd,2)-$Q134),MIN(0,SUM($CS134:CW134)+MIN(0,ROUND($R134*EFBPercent+EFBAdd,2)-$Q134))))</f>
        <v>0</v>
      </c>
      <c r="DG134" s="192">
        <f>MAX(-CY134,MIN(0,ROUND($R134*EFBPercent+EFBAdd,2)-$Q134),MIN(0,SUM($CS134:CX134)+MIN(0,ROUND($R134*EFBPercent+EFBAdd,2)-$Q134)))</f>
        <v>0</v>
      </c>
      <c r="DI134" s="73">
        <f t="shared" si="109"/>
        <v>20201691.170000002</v>
      </c>
      <c r="DJ134" s="73">
        <f t="shared" si="110"/>
        <v>494402.5</v>
      </c>
      <c r="DK134" s="73">
        <f t="shared" si="111"/>
        <v>17.760000000000002</v>
      </c>
      <c r="DL134" s="73">
        <f t="shared" si="112"/>
        <v>0</v>
      </c>
      <c r="DM134" s="73">
        <f t="shared" si="113"/>
        <v>0</v>
      </c>
      <c r="DN134" s="73">
        <f t="shared" si="114"/>
        <v>0</v>
      </c>
      <c r="DO134" s="73">
        <f t="shared" si="115"/>
        <v>0</v>
      </c>
      <c r="DP134" s="73"/>
      <c r="DQ134" s="73"/>
    </row>
    <row r="135" spans="1:121" ht="10.199999999999999" x14ac:dyDescent="0.2">
      <c r="A135" s="4" t="s">
        <v>603</v>
      </c>
      <c r="B135" s="188">
        <v>1151</v>
      </c>
      <c r="C135" s="189" t="s">
        <v>127</v>
      </c>
      <c r="D135" s="4">
        <v>2027</v>
      </c>
      <c r="E135" s="4" t="s">
        <v>441</v>
      </c>
      <c r="F135" s="4">
        <v>1</v>
      </c>
      <c r="G135" s="4" t="s">
        <v>675</v>
      </c>
      <c r="H135" s="4">
        <v>0</v>
      </c>
      <c r="I135" s="4" t="s">
        <v>849</v>
      </c>
      <c r="J135" s="5">
        <v>1027891.1300000001</v>
      </c>
      <c r="K135" s="5">
        <v>81.86</v>
      </c>
      <c r="L135" s="5">
        <v>278</v>
      </c>
      <c r="M135" s="5">
        <v>0</v>
      </c>
      <c r="N135" s="5">
        <v>7013433</v>
      </c>
      <c r="O135" s="5">
        <v>0</v>
      </c>
      <c r="P135" s="5">
        <v>77.709999999999994</v>
      </c>
      <c r="Q135" s="5">
        <v>0</v>
      </c>
      <c r="R135" s="5">
        <v>0</v>
      </c>
      <c r="S135" s="5">
        <v>0</v>
      </c>
      <c r="T135" s="5">
        <v>0</v>
      </c>
      <c r="U135" s="5">
        <v>0</v>
      </c>
      <c r="V135" s="5">
        <v>2025.3</v>
      </c>
      <c r="W135" s="5">
        <v>384.19</v>
      </c>
      <c r="X135" s="5">
        <v>9784.9499999999989</v>
      </c>
      <c r="Y135" s="5">
        <v>0</v>
      </c>
      <c r="Z135" s="5">
        <v>4</v>
      </c>
      <c r="AA135" s="5">
        <v>28</v>
      </c>
      <c r="AB135" s="5">
        <v>10</v>
      </c>
      <c r="AC135" s="5">
        <v>23</v>
      </c>
      <c r="AD135" s="5">
        <v>0</v>
      </c>
      <c r="AE135" s="5">
        <v>0</v>
      </c>
      <c r="AF135" s="5">
        <v>0</v>
      </c>
      <c r="AG135" s="5">
        <v>0</v>
      </c>
      <c r="AH135" s="5">
        <v>0.35599999999999998</v>
      </c>
      <c r="AI135" s="5">
        <v>0</v>
      </c>
      <c r="AJ135" s="5">
        <v>0</v>
      </c>
      <c r="AK135" s="5">
        <v>0</v>
      </c>
      <c r="AL135" s="5">
        <v>65.449999999999989</v>
      </c>
      <c r="AM135" s="5">
        <v>8.3500000000000014</v>
      </c>
      <c r="AN135" s="5">
        <v>65</v>
      </c>
      <c r="AO135" s="5">
        <f t="shared" si="141"/>
        <v>0.44999999999998863</v>
      </c>
      <c r="AP135" s="5">
        <f t="shared" si="133"/>
        <v>0</v>
      </c>
      <c r="AQ135" s="5">
        <v>0</v>
      </c>
      <c r="AR135" s="5">
        <v>0</v>
      </c>
      <c r="AS135" s="5">
        <v>0</v>
      </c>
      <c r="AT135" s="5">
        <v>28896</v>
      </c>
      <c r="AU135" s="5">
        <v>0</v>
      </c>
      <c r="AV135" s="5">
        <v>688</v>
      </c>
      <c r="AW135" s="5">
        <v>278</v>
      </c>
      <c r="AX135" s="5">
        <v>1</v>
      </c>
      <c r="AY135" s="199">
        <v>0</v>
      </c>
      <c r="AZ135" s="199">
        <v>0</v>
      </c>
      <c r="BA135" s="5">
        <v>94708.81</v>
      </c>
      <c r="BB135" s="13">
        <v>417905.28</v>
      </c>
      <c r="BC135" s="190">
        <f>MAX(ROUND(IF(F135&lt;4,IF(H135=0,(SUM(Y135:AD135)*Worksheet!$E$26+Y135*Worksheet!$E$27+AR135*Worksheet!$E$39)*-BaseRate,0)),2),MIN(0,-DI135))</f>
        <v>-66540.759999999995</v>
      </c>
      <c r="BD135" s="190">
        <f>MAX(ROUND(IF(F135=4,0,IF(I135=0,0,ROUND(SUM(Y135:AD135)*Worksheet!$E$28,2)*-BaseRate)),2),MIN(0,-DI135-BC135))</f>
        <v>-1512.29</v>
      </c>
      <c r="BE135" s="130">
        <f t="shared" si="134"/>
        <v>2514</v>
      </c>
      <c r="BF135" s="130">
        <f t="shared" si="135"/>
        <v>1405</v>
      </c>
      <c r="BG135" s="73"/>
      <c r="BH135" s="191">
        <f t="shared" si="136"/>
        <v>53582.65</v>
      </c>
      <c r="BI135" s="191">
        <f t="shared" si="137"/>
        <v>12556.7</v>
      </c>
      <c r="BJ135" s="232">
        <f>IFERROR(ROUND(IF(AND(BB135*1.12&lt;N135*60/1000,N135/CL135&lt;STVPP*0.2),(CL135*STVPP*0.2*Worksheet!$F$88/1000-BB135*1.12)*PropTaxAdj,IF(BB135*1.12&lt;N135*60/1000,(N135*60/1000-BB135*1.12)*PropTaxAdj,0)),2),0)</f>
        <v>0</v>
      </c>
      <c r="BK135" s="192">
        <f>ROUND(IF($F135=4,0,Y135*Worksheet!$E$16),2)</f>
        <v>0</v>
      </c>
      <c r="BL135" s="192">
        <f>ROUND(IF($F135=4,0,Z135*Worksheet!$E$17),2)</f>
        <v>4</v>
      </c>
      <c r="BM135" s="192">
        <f>ROUND(IF($F135=4,0,AA135*Worksheet!$E$18),2)</f>
        <v>28</v>
      </c>
      <c r="BN135" s="192">
        <f>ROUND(IF($F135=4,0,AB135*Worksheet!$E$19),2)</f>
        <v>10</v>
      </c>
      <c r="BO135" s="192">
        <f>ROUND(IF($F135=4,0,AC135*Worksheet!$E$20),2)</f>
        <v>23</v>
      </c>
      <c r="BP135" s="192">
        <f>ROUND(AD135*Worksheet!$E$21,2)</f>
        <v>0</v>
      </c>
      <c r="BQ135" s="192">
        <f t="shared" si="105"/>
        <v>65</v>
      </c>
      <c r="BR135" s="192">
        <f>ROUND(AD135*Worksheet!$E$25,2)</f>
        <v>0</v>
      </c>
      <c r="BS135" s="192">
        <f>ROUND(SUM(BQ135)*Worksheet!$E$26,2)</f>
        <v>5.72</v>
      </c>
      <c r="BT135" s="192">
        <f>ROUND(Y135*Worksheet!$E$27,2)</f>
        <v>0</v>
      </c>
      <c r="BU135" s="192">
        <f>ROUND(AO135*Worksheet!$E$29,2)</f>
        <v>0.45</v>
      </c>
      <c r="BV135" s="192">
        <f>ROUND(AP135*Worksheet!$E$30,2)</f>
        <v>0</v>
      </c>
      <c r="BW135" s="192">
        <f>ROUND(IF($I135&lt;&gt;0,$BQ135*Worksheet!$E$28,0),2)</f>
        <v>0.13</v>
      </c>
      <c r="BX135" s="192">
        <f>ROUND(AE135*Worksheet!$E$31,2)</f>
        <v>0</v>
      </c>
      <c r="BY135" s="192">
        <f>ROUND(AF135*Worksheet!$E$32,2)</f>
        <v>0</v>
      </c>
      <c r="BZ135" s="192">
        <f>ROUND(AG135*Worksheet!$E$33,2)</f>
        <v>0</v>
      </c>
      <c r="CA135" s="192">
        <f>ROUND(ROUND(AH135*BQ135,2)*Worksheet!$E$34,2)</f>
        <v>0.57999999999999996</v>
      </c>
      <c r="CB135" s="192">
        <f>ROUND(AI135*Worksheet!$E$35,2)</f>
        <v>0</v>
      </c>
      <c r="CC135" s="192">
        <f>ROUND(AJ135*Worksheet!$E$36,2)</f>
        <v>0</v>
      </c>
      <c r="CD135" s="192">
        <f>ROUND(AQ135*Worksheet!$E$38,2)</f>
        <v>0</v>
      </c>
      <c r="CE135" s="192">
        <f>ROUND(AR135*Worksheet!$E$39,2)</f>
        <v>0</v>
      </c>
      <c r="CF135" s="192">
        <f>IF(AND(L135&gt;275,SUM(Y135:AD135)&lt;100),ROUND(SUM(Y135:AD135)*Worksheet!$E$41,2),0)</f>
        <v>6.5</v>
      </c>
      <c r="CG135" s="192">
        <f>IF(AND(L135&gt;600,SUM(Y135:AD135)&lt;50),ROUND((50-SUM(Y135:AD135))*(Worksheet!$E$41+1),2),0)</f>
        <v>0</v>
      </c>
      <c r="CH135" s="192">
        <f t="shared" si="106"/>
        <v>78.38</v>
      </c>
      <c r="CI135" s="116">
        <f t="shared" si="142"/>
        <v>0</v>
      </c>
      <c r="CJ135" s="116">
        <f t="shared" si="143"/>
        <v>78.38</v>
      </c>
      <c r="CK135" s="95">
        <f t="shared" si="138"/>
        <v>1.67</v>
      </c>
      <c r="CL135" s="116">
        <f t="shared" si="144"/>
        <v>130.88999999999999</v>
      </c>
      <c r="CM135" s="116">
        <f t="shared" si="145"/>
        <v>130.88999999999999</v>
      </c>
      <c r="CN135" s="116">
        <f t="shared" si="139"/>
        <v>1522643.37</v>
      </c>
      <c r="CO135" s="131">
        <f>ROUND(IF(F135=4,0,(MAX(ROUND(MAX((BI135*MIN(CL135,K135)*Worksheet!$D$126)+MAX(CL135-K135,0)*Worksheet!$F$50,SUM(J135)),2),SUM(CN135))-SUM(CN135))*MinAdj),2)</f>
        <v>14425.79</v>
      </c>
      <c r="CP135" s="192">
        <f t="shared" si="140"/>
        <v>1537069.1600000001</v>
      </c>
      <c r="CQ135" s="131">
        <f>IF(CL135=0,0,-MIN(CP135,MIN(CP135,ROUND(IF(ROUND(IF(CL135=0,0,N135/CL135),2)&lt;STVPP*0.2,STVPP*0.2*CL135*Worksheet!$F$88/1000,N135*Worksheet!$F$88/1000),2))))</f>
        <v>-420805.98</v>
      </c>
      <c r="CR135" s="193">
        <f>-MIN(SUM(CP135,CQ135),IF($P135=0,(ROUND(Worksheet!$E$77*S135,2)+ROUND(Worksheet!$E$78*T135,2)+ROUND(Worksheet!$E$79*U135,2)+ROUND(Worksheet!$E$80*V135,2)+ROUND(Worksheet!$E$81*W135,2)+ROUND(Worksheet!$E$82*X135,2)),(ROUND(ROUND(S135*ROUND((1-$O135/$P135),4),2)*Worksheet!$E$77,2)+ROUND(ROUND(T135*ROUND((1-$O135/$P135),4),2)*Worksheet!$E$78,2)+ROUND(ROUND(U135*ROUND((1-$O135/$P135),4),2)*Worksheet!$E$79,2)+ROUND(ROUND(V135*ROUND((1-$O135/$P135),4),2)*Worksheet!$E$80,2)+ROUND(ROUND(W135*ROUND((1-$O135/$P135),4),2)*Worksheet!$E$81,2)+ROUND(ROUND(X135*ROUND((1-$O135/$P135),4),2)*Worksheet!$E$82,2))))</f>
        <v>-9145.83</v>
      </c>
      <c r="CS135" s="192">
        <f t="shared" si="107"/>
        <v>1107117.3500000001</v>
      </c>
      <c r="CT135" s="116">
        <f>ROUND(MIN(BA135,ROUND((ROUND(AS135*Worksheet!$E$104,2)+ROUND(AV135*Worksheet!$E$107,2)+ROUND(AT135*Worksheet!$E$105,2)+ROUND(AW135*Worksheet!$E$108,2)+ROUND(AU135*Worksheet!$E$106,2)+ROUND(AX135*Worksheet!$E$109,2)+ROUND(AY135*Worksheet!$E$110,2)+ROUND(AZ135*Worksheet!$E$111,2))*Worksheet!$D$114,2))*BaseRate,2)</f>
        <v>46532</v>
      </c>
      <c r="CU135" s="121">
        <v>0</v>
      </c>
      <c r="CV135" s="121">
        <v>0</v>
      </c>
      <c r="CW135" s="121">
        <v>0</v>
      </c>
      <c r="CX135" s="121">
        <v>0</v>
      </c>
      <c r="CY135" s="121">
        <v>0</v>
      </c>
      <c r="DA135" s="192">
        <f t="shared" si="108"/>
        <v>0</v>
      </c>
      <c r="DB135" s="192">
        <f>MAX(-CT135,MIN(0,ROUND($R135*EFBPercent+EFBAdd,2)-$Q135),MIN(0,SUM($CS135:CS135)+MIN(0,ROUND($R135*EFBPercent+EFBAdd,2)-$Q135)))</f>
        <v>0</v>
      </c>
      <c r="DC135" s="192">
        <f>IF(CU135&lt;0,0,MAX(-CU135,MIN(0,ROUND($R135*EFBPercent+EFBAdd,2)-$Q135),MIN(0,SUM($CS135:CT135)+MIN(0,ROUND($R135*EFBPercent+EFBAdd,2)-$Q135))))</f>
        <v>0</v>
      </c>
      <c r="DD135" s="192">
        <f>IF(CV135&lt;0,0,MAX(-CV135,MIN(0,ROUND($R135*EFBPercent+EFBAdd,2)-$Q135),MIN(0,SUM($CS135:CU135)+MIN(0,ROUND($R135*EFBPercent+EFBAdd,2)-$Q135))))</f>
        <v>0</v>
      </c>
      <c r="DE135" s="192">
        <f>IF(CW135&lt;0,0,MAX(-CW135,MIN(0,ROUND($R135*EFBPercent+EFBAdd,2)-$Q135),MIN(0,SUM($CS135:CV135)+MIN(0,ROUND($R135*EFBPercent+EFBAdd,2)-$Q135))))</f>
        <v>0</v>
      </c>
      <c r="DF135" s="192">
        <f>IF(CX135&lt;0,0,MAX(-CX135,MIN(0,ROUND($R135*EFBPercent+EFBAdd,2)-$Q135),MIN(0,SUM($CS135:CW135)+MIN(0,ROUND($R135*EFBPercent+EFBAdd,2)-$Q135))))</f>
        <v>0</v>
      </c>
      <c r="DG135" s="192">
        <f>MAX(-CY135,MIN(0,ROUND($R135*EFBPercent+EFBAdd,2)-$Q135),MIN(0,SUM($CS135:CX135)+MIN(0,ROUND($R135*EFBPercent+EFBAdd,2)-$Q135)))</f>
        <v>0</v>
      </c>
      <c r="DI135" s="73">
        <f t="shared" si="109"/>
        <v>1107117.3500000001</v>
      </c>
      <c r="DJ135" s="73">
        <f t="shared" si="110"/>
        <v>46532</v>
      </c>
      <c r="DK135" s="73">
        <f t="shared" si="111"/>
        <v>0</v>
      </c>
      <c r="DL135" s="73">
        <f t="shared" si="112"/>
        <v>0</v>
      </c>
      <c r="DM135" s="73">
        <f t="shared" si="113"/>
        <v>0</v>
      </c>
      <c r="DN135" s="73">
        <f t="shared" si="114"/>
        <v>0</v>
      </c>
      <c r="DO135" s="73">
        <f t="shared" si="115"/>
        <v>0</v>
      </c>
      <c r="DP135" s="73"/>
      <c r="DQ135" s="73"/>
    </row>
    <row r="136" spans="1:121" ht="10.199999999999999" x14ac:dyDescent="0.2">
      <c r="A136" s="4" t="s">
        <v>849</v>
      </c>
      <c r="B136" s="188">
        <v>1405</v>
      </c>
      <c r="C136" s="189" t="s">
        <v>697</v>
      </c>
      <c r="D136" s="4">
        <v>2027</v>
      </c>
      <c r="E136" s="4" t="s">
        <v>816</v>
      </c>
      <c r="F136" s="4">
        <v>0</v>
      </c>
      <c r="G136" s="4" t="s">
        <v>968</v>
      </c>
      <c r="H136" s="4">
        <v>0</v>
      </c>
      <c r="I136" s="4">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f t="shared" si="141"/>
        <v>0</v>
      </c>
      <c r="AP136" s="5">
        <v>0</v>
      </c>
      <c r="AQ136" s="5">
        <v>0</v>
      </c>
      <c r="AR136" s="5">
        <v>0</v>
      </c>
      <c r="AS136" s="5">
        <v>0</v>
      </c>
      <c r="AT136" s="5">
        <v>0</v>
      </c>
      <c r="AU136" s="5">
        <v>0</v>
      </c>
      <c r="AV136" s="5">
        <v>0</v>
      </c>
      <c r="AW136" s="5">
        <v>0</v>
      </c>
      <c r="AX136" s="5">
        <v>0</v>
      </c>
      <c r="AY136" s="199">
        <v>0</v>
      </c>
      <c r="AZ136" s="199">
        <v>0</v>
      </c>
      <c r="BA136" s="5">
        <v>0</v>
      </c>
      <c r="BB136" s="13">
        <v>0</v>
      </c>
      <c r="BC136" s="190">
        <f>MAX(ROUND(IF(F136&lt;4,IF(H136=0,(SUM(Y136:AD136)*Worksheet!$E$26+Y136*Worksheet!$E$27+AR136*Worksheet!$E$39)*-BaseRate,0)),2),MIN(0,-DI136))</f>
        <v>0</v>
      </c>
      <c r="BD136" s="190">
        <f>MAX(ROUND(IF(F136=4,0,IF(I136=0,0,ROUND(SUM(Y136:AD136)*Worksheet!$E$28,2)*-BaseRate)),2),MIN(0,-DI136-BC136))</f>
        <v>0</v>
      </c>
      <c r="BE136" s="130">
        <f t="shared" si="134"/>
        <v>0</v>
      </c>
      <c r="BF136" s="130">
        <f t="shared" si="135"/>
        <v>0</v>
      </c>
      <c r="BG136" s="73"/>
      <c r="BH136" s="191">
        <f t="shared" si="136"/>
        <v>0</v>
      </c>
      <c r="BI136" s="191">
        <f t="shared" si="137"/>
        <v>0</v>
      </c>
      <c r="BJ136" s="232">
        <f>IFERROR(ROUND(IF(AND(BB136*1.12&lt;N136*60/1000,N136/CL136&lt;STVPP*0.2),(CL136*STVPP*0.2*Worksheet!$F$88/1000-BB136*1.12)*PropTaxAdj,IF(BB136*1.12&lt;N136*60/1000,(N136*60/1000-BB136*1.12)*PropTaxAdj,0)),2),0)</f>
        <v>0</v>
      </c>
      <c r="BK136" s="192">
        <f>ROUND(IF($F136=4,0,Y136*Worksheet!$E$16),2)</f>
        <v>0</v>
      </c>
      <c r="BL136" s="192">
        <f>ROUND(IF($F136=4,0,Z136*Worksheet!$E$17),2)</f>
        <v>0</v>
      </c>
      <c r="BM136" s="192">
        <f>ROUND(IF($F136=4,0,AA136*Worksheet!$E$18),2)</f>
        <v>0</v>
      </c>
      <c r="BN136" s="192">
        <f>ROUND(IF($F136=4,0,AB136*Worksheet!$E$19),2)</f>
        <v>0</v>
      </c>
      <c r="BO136" s="192">
        <f>ROUND(IF($F136=4,0,AC136*Worksheet!$E$20),2)</f>
        <v>0</v>
      </c>
      <c r="BP136" s="192">
        <f>ROUND(AD136*Worksheet!$E$21,2)</f>
        <v>0</v>
      </c>
      <c r="BQ136" s="192">
        <f t="shared" si="105"/>
        <v>0</v>
      </c>
      <c r="BR136" s="192">
        <f>ROUND(AD136*Worksheet!$E$25,2)</f>
        <v>0</v>
      </c>
      <c r="BS136" s="192">
        <f>ROUND(SUM(BQ136)*Worksheet!$E$26,2)</f>
        <v>0</v>
      </c>
      <c r="BT136" s="192">
        <f>ROUND(Y136*Worksheet!$E$27,2)</f>
        <v>0</v>
      </c>
      <c r="BU136" s="192">
        <f>ROUND(AO136*Worksheet!$E$29,2)</f>
        <v>0</v>
      </c>
      <c r="BV136" s="192">
        <f>ROUND(AP136*Worksheet!$E$30,2)</f>
        <v>0</v>
      </c>
      <c r="BW136" s="192">
        <f>ROUND(IF($I136&lt;&gt;0,$BQ136*Worksheet!$E$28,0),2)</f>
        <v>0</v>
      </c>
      <c r="BX136" s="192">
        <f>ROUND(AE136*Worksheet!$E$31,2)</f>
        <v>0</v>
      </c>
      <c r="BY136" s="192">
        <f>ROUND(AF136*Worksheet!$E$32,2)</f>
        <v>0</v>
      </c>
      <c r="BZ136" s="192">
        <f>ROUND(AG136*Worksheet!$E$33,2)</f>
        <v>0</v>
      </c>
      <c r="CA136" s="192">
        <f>ROUND(ROUND(AH136*BQ136,2)*Worksheet!$E$34,2)</f>
        <v>0</v>
      </c>
      <c r="CB136" s="192">
        <f>ROUND(AI136*Worksheet!$E$35,2)</f>
        <v>0</v>
      </c>
      <c r="CC136" s="192">
        <f>ROUND(AJ136*Worksheet!$E$36,2)</f>
        <v>0</v>
      </c>
      <c r="CD136" s="192">
        <f>ROUND(AQ136*Worksheet!$E$38,2)</f>
        <v>0</v>
      </c>
      <c r="CE136" s="192">
        <f>ROUND(AR136*Worksheet!$E$39,2)</f>
        <v>0</v>
      </c>
      <c r="CF136" s="192">
        <f>IF(AND(L136&gt;275,SUM(Y136:AD136)&lt;100),ROUND(SUM(Y136:AD136)*Worksheet!$E$41,2),0)</f>
        <v>0</v>
      </c>
      <c r="CG136" s="192">
        <f>IF(AND(L136&gt;600,SUM(Y136:AD136)&lt;50),ROUND((50-SUM(Y136:AD136))*(Worksheet!$E$41+1),2),0)</f>
        <v>0</v>
      </c>
      <c r="CH136" s="192">
        <f t="shared" si="106"/>
        <v>0</v>
      </c>
      <c r="CI136" s="116">
        <f t="shared" si="142"/>
        <v>0</v>
      </c>
      <c r="CJ136" s="116">
        <f t="shared" si="143"/>
        <v>0</v>
      </c>
      <c r="CK136" s="95">
        <f t="shared" si="138"/>
        <v>0</v>
      </c>
      <c r="CL136" s="116">
        <f t="shared" si="144"/>
        <v>0</v>
      </c>
      <c r="CM136" s="116">
        <f t="shared" si="145"/>
        <v>0</v>
      </c>
      <c r="CN136" s="116">
        <f t="shared" si="139"/>
        <v>0</v>
      </c>
      <c r="CO136" s="131">
        <f>ROUND(IF(F136=4,0,(MAX(ROUND(MAX((BI136*MIN(CL136,K136)*Worksheet!$D$126)+MAX(CL136-K136,0)*Worksheet!$F$50,SUM(J136)),2),SUM(CN136))-SUM(CN136))*MinAdj),2)</f>
        <v>0</v>
      </c>
      <c r="CP136" s="192">
        <f t="shared" si="140"/>
        <v>0</v>
      </c>
      <c r="CQ136" s="131">
        <f>IF(CL136=0,0,-MIN(CP136,MIN(CP136,ROUND(IF(ROUND(IF(CL136=0,0,N136/CL136),2)&lt;STVPP*0.2,STVPP*0.2*CL136*Worksheet!$F$88/1000,N136*Worksheet!$F$88/1000),2))))</f>
        <v>0</v>
      </c>
      <c r="CR136" s="193">
        <f>-MIN(SUM(CP136,CQ136),IF($P136=0,(ROUND(Worksheet!$E$77*S136,2)+ROUND(Worksheet!$E$78*T136,2)+ROUND(Worksheet!$E$79*U136,2)+ROUND(Worksheet!$E$80*V136,2)+ROUND(Worksheet!$E$81*W136,2)+ROUND(Worksheet!$E$82*X136,2)),(ROUND(ROUND(S136*ROUND((1-$O136/$P136),4),2)*Worksheet!$E$77,2)+ROUND(ROUND(T136*ROUND((1-$O136/$P136),4),2)*Worksheet!$E$78,2)+ROUND(ROUND(U136*ROUND((1-$O136/$P136),4),2)*Worksheet!$E$79,2)+ROUND(ROUND(V136*ROUND((1-$O136/$P136),4),2)*Worksheet!$E$80,2)+ROUND(ROUND(W136*ROUND((1-$O136/$P136),4),2)*Worksheet!$E$81,2)+ROUND(ROUND(X136*ROUND((1-$O136/$P136),4),2)*Worksheet!$E$82,2))))</f>
        <v>0</v>
      </c>
      <c r="CS136" s="192">
        <f t="shared" si="107"/>
        <v>0</v>
      </c>
      <c r="CT136" s="116">
        <f>ROUND(MIN(BA136,ROUND((ROUND(AS136*Worksheet!$E$104,2)+ROUND(AV136*Worksheet!$E$107,2)+ROUND(AT136*Worksheet!$E$105,2)+ROUND(AW136*Worksheet!$E$108,2)+ROUND(AU136*Worksheet!$E$106,2)+ROUND(AX136*Worksheet!$E$109,2)+ROUND(AY136*Worksheet!$E$110,2)+ROUND(AZ136*Worksheet!$E$111,2))*Worksheet!$D$114,2))*BaseRate,2)</f>
        <v>0</v>
      </c>
      <c r="CU136" s="121">
        <v>0</v>
      </c>
      <c r="CV136" s="121">
        <v>0</v>
      </c>
      <c r="CW136" s="121">
        <v>0</v>
      </c>
      <c r="CX136" s="121">
        <v>0</v>
      </c>
      <c r="CY136" s="121">
        <v>0</v>
      </c>
      <c r="DA136" s="192">
        <f t="shared" si="108"/>
        <v>0</v>
      </c>
      <c r="DB136" s="192">
        <f>MAX(-CT136,MIN(0,ROUND($R136*EFBPercent+EFBAdd,2)-$Q136),MIN(0,SUM($CS136:CS136)+MIN(0,ROUND($R136*EFBPercent+EFBAdd,2)-$Q136)))</f>
        <v>0</v>
      </c>
      <c r="DC136" s="192">
        <f>IF(CU136&lt;0,0,MAX(-CU136,MIN(0,ROUND($R136*EFBPercent+EFBAdd,2)-$Q136),MIN(0,SUM($CS136:CT136)+MIN(0,ROUND($R136*EFBPercent+EFBAdd,2)-$Q136))))</f>
        <v>0</v>
      </c>
      <c r="DD136" s="192">
        <f>IF(CV136&lt;0,0,MAX(-CV136,MIN(0,ROUND($R136*EFBPercent+EFBAdd,2)-$Q136),MIN(0,SUM($CS136:CU136)+MIN(0,ROUND($R136*EFBPercent+EFBAdd,2)-$Q136))))</f>
        <v>0</v>
      </c>
      <c r="DE136" s="192">
        <f>IF(CW136&lt;0,0,MAX(-CW136,MIN(0,ROUND($R136*EFBPercent+EFBAdd,2)-$Q136),MIN(0,SUM($CS136:CV136)+MIN(0,ROUND($R136*EFBPercent+EFBAdd,2)-$Q136))))</f>
        <v>0</v>
      </c>
      <c r="DF136" s="192">
        <f>IF(CX136&lt;0,0,MAX(-CX136,MIN(0,ROUND($R136*EFBPercent+EFBAdd,2)-$Q136),MIN(0,SUM($CS136:CW136)+MIN(0,ROUND($R136*EFBPercent+EFBAdd,2)-$Q136))))</f>
        <v>0</v>
      </c>
      <c r="DG136" s="192">
        <f>MAX(-CY136,MIN(0,ROUND($R136*EFBPercent+EFBAdd,2)-$Q136),MIN(0,SUM($CS136:CX136)+MIN(0,ROUND($R136*EFBPercent+EFBAdd,2)-$Q136)))</f>
        <v>0</v>
      </c>
      <c r="DI136" s="73">
        <f t="shared" si="109"/>
        <v>0</v>
      </c>
      <c r="DJ136" s="73">
        <f t="shared" si="110"/>
        <v>0</v>
      </c>
      <c r="DK136" s="73">
        <f t="shared" si="111"/>
        <v>0</v>
      </c>
      <c r="DL136" s="73">
        <f t="shared" si="112"/>
        <v>0</v>
      </c>
      <c r="DM136" s="73">
        <f t="shared" si="113"/>
        <v>0</v>
      </c>
      <c r="DN136" s="73">
        <f t="shared" si="114"/>
        <v>0</v>
      </c>
      <c r="DO136" s="73">
        <f t="shared" si="115"/>
        <v>0</v>
      </c>
      <c r="DP136" s="73"/>
      <c r="DQ136" s="73"/>
    </row>
    <row r="137" spans="1:121" ht="10.199999999999999" x14ac:dyDescent="0.2">
      <c r="A137" s="4" t="s">
        <v>675</v>
      </c>
      <c r="B137" s="188">
        <v>2514</v>
      </c>
      <c r="C137" s="189" t="s">
        <v>193</v>
      </c>
      <c r="D137" s="4">
        <v>2027</v>
      </c>
      <c r="E137" s="4" t="s">
        <v>1042</v>
      </c>
      <c r="F137" s="4">
        <v>7</v>
      </c>
      <c r="G137" s="4" t="s">
        <v>675</v>
      </c>
      <c r="H137" s="4">
        <v>100</v>
      </c>
      <c r="I137" s="4">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f t="shared" si="141"/>
        <v>0</v>
      </c>
      <c r="AP137" s="5">
        <v>0</v>
      </c>
      <c r="AQ137" s="5">
        <v>0</v>
      </c>
      <c r="AR137" s="5">
        <v>0</v>
      </c>
      <c r="AS137" s="5">
        <v>18450</v>
      </c>
      <c r="AT137" s="5">
        <v>0</v>
      </c>
      <c r="AU137" s="5">
        <v>150</v>
      </c>
      <c r="AV137" s="5">
        <v>0</v>
      </c>
      <c r="AW137" s="5">
        <v>0</v>
      </c>
      <c r="AX137" s="5">
        <v>0</v>
      </c>
      <c r="AY137" s="199">
        <v>0</v>
      </c>
      <c r="AZ137" s="199">
        <v>0</v>
      </c>
      <c r="BA137" s="5">
        <v>16779.54</v>
      </c>
      <c r="BB137" s="13">
        <v>0</v>
      </c>
      <c r="BC137" s="190">
        <f>MAX(ROUND(IF(F137&lt;4,IF(H137=0,(SUM(Y137:AD137)*Worksheet!$E$26+Y137*Worksheet!$E$27+AR137*Worksheet!$E$39)*-BaseRate,0)),2),MIN(0,-DI137))</f>
        <v>0</v>
      </c>
      <c r="BD137" s="190">
        <f>MAX(ROUND(IF(F137=4,0,IF(I137=0,0,ROUND(SUM(Y137:AD137)*Worksheet!$E$28,2)*-BaseRate)),2),MIN(0,-DI137-BC137))</f>
        <v>0</v>
      </c>
      <c r="BE137" s="130">
        <f t="shared" si="134"/>
        <v>0</v>
      </c>
      <c r="BF137" s="130">
        <f t="shared" si="135"/>
        <v>0</v>
      </c>
      <c r="BG137" s="73"/>
      <c r="BH137" s="191">
        <f t="shared" si="136"/>
        <v>0</v>
      </c>
      <c r="BI137" s="191">
        <f t="shared" si="137"/>
        <v>0</v>
      </c>
      <c r="BJ137" s="232">
        <f>IFERROR(ROUND(IF(AND(BB137*1.12&lt;N137*60/1000,N137/CL137&lt;STVPP*0.2),(CL137*STVPP*0.2*Worksheet!$F$88/1000-BB137*1.12)*PropTaxAdj,IF(BB137*1.12&lt;N137*60/1000,(N137*60/1000-BB137*1.12)*PropTaxAdj,0)),2),0)</f>
        <v>0</v>
      </c>
      <c r="BK137" s="192">
        <f>ROUND(IF($F137=4,0,Y137*Worksheet!$E$16),2)</f>
        <v>0</v>
      </c>
      <c r="BL137" s="192">
        <f>ROUND(IF($F137=4,0,Z137*Worksheet!$E$17),2)</f>
        <v>0</v>
      </c>
      <c r="BM137" s="192">
        <f>ROUND(IF($F137=4,0,AA137*Worksheet!$E$18),2)</f>
        <v>0</v>
      </c>
      <c r="BN137" s="192">
        <f>ROUND(IF($F137=4,0,AB137*Worksheet!$E$19),2)</f>
        <v>0</v>
      </c>
      <c r="BO137" s="192">
        <f>ROUND(IF($F137=4,0,AC137*Worksheet!$E$20),2)</f>
        <v>0</v>
      </c>
      <c r="BP137" s="192">
        <f>ROUND(AD137*Worksheet!$E$21,2)</f>
        <v>0</v>
      </c>
      <c r="BQ137" s="192">
        <f t="shared" si="105"/>
        <v>0</v>
      </c>
      <c r="BR137" s="192">
        <f>ROUND(AD137*Worksheet!$E$25,2)</f>
        <v>0</v>
      </c>
      <c r="BS137" s="192">
        <f>ROUND(SUM(BQ137)*Worksheet!$E$26,2)</f>
        <v>0</v>
      </c>
      <c r="BT137" s="192">
        <f>ROUND(Y137*Worksheet!$E$27,2)</f>
        <v>0</v>
      </c>
      <c r="BU137" s="192">
        <f>ROUND(AO137*Worksheet!$E$29,2)</f>
        <v>0</v>
      </c>
      <c r="BV137" s="192">
        <f>ROUND(AP137*Worksheet!$E$30,2)</f>
        <v>0</v>
      </c>
      <c r="BW137" s="192">
        <f>ROUND(IF($I137&lt;&gt;0,$BQ137*Worksheet!$E$28,0),2)</f>
        <v>0</v>
      </c>
      <c r="BX137" s="192">
        <f>ROUND(AE137*Worksheet!$E$31,2)</f>
        <v>0</v>
      </c>
      <c r="BY137" s="192">
        <f>ROUND(AF137*Worksheet!$E$32,2)</f>
        <v>0</v>
      </c>
      <c r="BZ137" s="192">
        <f>ROUND(AG137*Worksheet!$E$33,2)</f>
        <v>0</v>
      </c>
      <c r="CA137" s="192">
        <f>ROUND(ROUND(AH137*BQ137,2)*Worksheet!$E$34,2)</f>
        <v>0</v>
      </c>
      <c r="CB137" s="192">
        <f>ROUND(AI137*Worksheet!$E$35,2)</f>
        <v>0</v>
      </c>
      <c r="CC137" s="192">
        <f>ROUND(AJ137*Worksheet!$E$36,2)</f>
        <v>0</v>
      </c>
      <c r="CD137" s="192">
        <f>ROUND(AQ137*Worksheet!$E$38,2)</f>
        <v>0</v>
      </c>
      <c r="CE137" s="192">
        <f>ROUND(AR137*Worksheet!$E$39,2)</f>
        <v>0</v>
      </c>
      <c r="CF137" s="192">
        <f>IF(AND(L137&gt;275,SUM(Y137:AD137)&lt;100),ROUND(SUM(Y137:AD137)*Worksheet!$E$41,2),0)</f>
        <v>0</v>
      </c>
      <c r="CG137" s="192">
        <f>IF(AND(L137&gt;600,SUM(Y137:AD137)&lt;50),ROUND((50-SUM(Y137:AD137))*(Worksheet!$E$41+1),2),0)</f>
        <v>0</v>
      </c>
      <c r="CH137" s="192">
        <f t="shared" si="106"/>
        <v>0</v>
      </c>
      <c r="CI137" s="116">
        <f t="shared" si="142"/>
        <v>0</v>
      </c>
      <c r="CJ137" s="116">
        <f t="shared" si="143"/>
        <v>0</v>
      </c>
      <c r="CK137" s="95">
        <f t="shared" si="138"/>
        <v>0</v>
      </c>
      <c r="CL137" s="116">
        <f t="shared" si="144"/>
        <v>0</v>
      </c>
      <c r="CM137" s="116">
        <f t="shared" si="145"/>
        <v>0</v>
      </c>
      <c r="CN137" s="116">
        <f t="shared" si="139"/>
        <v>0</v>
      </c>
      <c r="CO137" s="131">
        <f>ROUND(IF(F137=4,0,(MAX(ROUND(MAX((BI137*MIN(CL137,K137)*Worksheet!$D$126)+MAX(CL137-K137,0)*Worksheet!$F$50,SUM(J137)),2),SUM(CN137))-SUM(CN137))*MinAdj),2)</f>
        <v>0</v>
      </c>
      <c r="CP137" s="192">
        <f t="shared" si="140"/>
        <v>0</v>
      </c>
      <c r="CQ137" s="131">
        <f>IF(CL137=0,0,-MIN(CP137,MIN(CP137,ROUND(IF(ROUND(IF(CL137=0,0,N137/CL137),2)&lt;STVPP*0.2,STVPP*0.2*CL137*Worksheet!$F$88/1000,N137*Worksheet!$F$88/1000),2))))</f>
        <v>0</v>
      </c>
      <c r="CR137" s="193">
        <f>-MIN(SUM(CP137,CQ137),IF($P137=0,(ROUND(Worksheet!$E$77*S137,2)+ROUND(Worksheet!$E$78*T137,2)+ROUND(Worksheet!$E$79*U137,2)+ROUND(Worksheet!$E$80*V137,2)+ROUND(Worksheet!$E$81*W137,2)+ROUND(Worksheet!$E$82*X137,2)),(ROUND(ROUND(S137*ROUND((1-$O137/$P137),4),2)*Worksheet!$E$77,2)+ROUND(ROUND(T137*ROUND((1-$O137/$P137),4),2)*Worksheet!$E$78,2)+ROUND(ROUND(U137*ROUND((1-$O137/$P137),4),2)*Worksheet!$E$79,2)+ROUND(ROUND(V137*ROUND((1-$O137/$P137),4),2)*Worksheet!$E$80,2)+ROUND(ROUND(W137*ROUND((1-$O137/$P137),4),2)*Worksheet!$E$81,2)+ROUND(ROUND(X137*ROUND((1-$O137/$P137),4),2)*Worksheet!$E$82,2))))</f>
        <v>0</v>
      </c>
      <c r="CS137" s="192">
        <f t="shared" si="107"/>
        <v>0</v>
      </c>
      <c r="CT137" s="116">
        <f>ROUND(MIN(BA137,ROUND((ROUND(AS137*Worksheet!$E$104,2)+ROUND(AV137*Worksheet!$E$107,2)+ROUND(AT137*Worksheet!$E$105,2)+ROUND(AW137*Worksheet!$E$108,2)+ROUND(AU137*Worksheet!$E$106,2)+ROUND(AX137*Worksheet!$E$109,2)+ROUND(AY137*Worksheet!$E$110,2)+ROUND(AZ137*Worksheet!$E$111,2))*Worksheet!$D$114,2))*BaseRate,2)</f>
        <v>10935.02</v>
      </c>
      <c r="CU137" s="121">
        <v>0</v>
      </c>
      <c r="CV137" s="121">
        <v>124229.03</v>
      </c>
      <c r="CW137" s="121">
        <v>20222.2</v>
      </c>
      <c r="CX137" s="121">
        <v>0</v>
      </c>
      <c r="CY137" s="121">
        <v>0</v>
      </c>
      <c r="DA137" s="192">
        <f t="shared" si="108"/>
        <v>0</v>
      </c>
      <c r="DB137" s="192">
        <f>MAX(-CT137,MIN(0,ROUND($R137*EFBPercent+EFBAdd,2)-$Q137),MIN(0,SUM($CS137:CS137)+MIN(0,ROUND($R137*EFBPercent+EFBAdd,2)-$Q137)))</f>
        <v>0</v>
      </c>
      <c r="DC137" s="192">
        <f>IF(CU137&lt;0,0,MAX(-CU137,MIN(0,ROUND($R137*EFBPercent+EFBAdd,2)-$Q137),MIN(0,SUM($CS137:CT137)+MIN(0,ROUND($R137*EFBPercent+EFBAdd,2)-$Q137))))</f>
        <v>0</v>
      </c>
      <c r="DD137" s="192">
        <f>IF(CV137&lt;0,0,MAX(-CV137,MIN(0,ROUND($R137*EFBPercent+EFBAdd,2)-$Q137),MIN(0,SUM($CS137:CU137)+MIN(0,ROUND($R137*EFBPercent+EFBAdd,2)-$Q137))))</f>
        <v>0</v>
      </c>
      <c r="DE137" s="192">
        <f>IF(CW137&lt;0,0,MAX(-CW137,MIN(0,ROUND($R137*EFBPercent+EFBAdd,2)-$Q137),MIN(0,SUM($CS137:CV137)+MIN(0,ROUND($R137*EFBPercent+EFBAdd,2)-$Q137))))</f>
        <v>0</v>
      </c>
      <c r="DF137" s="192">
        <f>IF(CX137&lt;0,0,MAX(-CX137,MIN(0,ROUND($R137*EFBPercent+EFBAdd,2)-$Q137),MIN(0,SUM($CS137:CW137)+MIN(0,ROUND($R137*EFBPercent+EFBAdd,2)-$Q137))))</f>
        <v>0</v>
      </c>
      <c r="DG137" s="192">
        <f>MAX(-CY137,MIN(0,ROUND($R137*EFBPercent+EFBAdd,2)-$Q137),MIN(0,SUM($CS137:CX137)+MIN(0,ROUND($R137*EFBPercent+EFBAdd,2)-$Q137)))</f>
        <v>0</v>
      </c>
      <c r="DI137" s="73">
        <f t="shared" si="109"/>
        <v>0</v>
      </c>
      <c r="DJ137" s="73">
        <f t="shared" si="110"/>
        <v>10935.02</v>
      </c>
      <c r="DK137" s="73">
        <f t="shared" si="111"/>
        <v>0</v>
      </c>
      <c r="DL137" s="73">
        <f t="shared" si="112"/>
        <v>124229.03</v>
      </c>
      <c r="DM137" s="73">
        <f t="shared" si="113"/>
        <v>20222.2</v>
      </c>
      <c r="DN137" s="73">
        <f t="shared" si="114"/>
        <v>0</v>
      </c>
      <c r="DO137" s="73">
        <f t="shared" si="115"/>
        <v>0</v>
      </c>
      <c r="DP137" s="73"/>
      <c r="DQ137" s="73"/>
    </row>
    <row r="138" spans="1:121" s="275" customFormat="1" ht="10.199999999999999" x14ac:dyDescent="0.2">
      <c r="A138" s="262" t="s">
        <v>604</v>
      </c>
      <c r="B138" s="263">
        <v>1044</v>
      </c>
      <c r="C138" s="264" t="s">
        <v>128</v>
      </c>
      <c r="D138" s="262">
        <v>2027</v>
      </c>
      <c r="E138" s="262" t="s">
        <v>442</v>
      </c>
      <c r="F138" s="262">
        <v>4</v>
      </c>
      <c r="G138" s="262" t="s">
        <v>676</v>
      </c>
      <c r="H138" s="262">
        <v>100</v>
      </c>
      <c r="I138" s="262">
        <v>0</v>
      </c>
      <c r="J138" s="265">
        <v>453857.43</v>
      </c>
      <c r="K138" s="265">
        <v>36.68</v>
      </c>
      <c r="L138" s="265">
        <v>66.5</v>
      </c>
      <c r="M138" s="265">
        <v>0</v>
      </c>
      <c r="N138" s="5">
        <v>4515535</v>
      </c>
      <c r="O138" s="265">
        <v>0</v>
      </c>
      <c r="P138" s="265">
        <v>77</v>
      </c>
      <c r="Q138" s="265">
        <v>0</v>
      </c>
      <c r="R138" s="265">
        <v>0</v>
      </c>
      <c r="S138" s="5">
        <v>0</v>
      </c>
      <c r="T138" s="5">
        <v>0</v>
      </c>
      <c r="U138" s="5">
        <v>0</v>
      </c>
      <c r="V138" s="5">
        <v>19849.580000000002</v>
      </c>
      <c r="W138" s="5">
        <v>927.07999999999993</v>
      </c>
      <c r="X138" s="5">
        <v>970.5</v>
      </c>
      <c r="Y138" s="5">
        <v>0</v>
      </c>
      <c r="Z138" s="5">
        <v>0</v>
      </c>
      <c r="AA138" s="5">
        <v>0</v>
      </c>
      <c r="AB138" s="5">
        <v>0</v>
      </c>
      <c r="AC138" s="5">
        <v>0</v>
      </c>
      <c r="AD138" s="5">
        <v>0</v>
      </c>
      <c r="AE138" s="5">
        <v>0</v>
      </c>
      <c r="AF138" s="5">
        <v>0</v>
      </c>
      <c r="AG138" s="5">
        <v>0</v>
      </c>
      <c r="AH138" s="5">
        <v>0.26500000000000001</v>
      </c>
      <c r="AI138" s="5">
        <v>0</v>
      </c>
      <c r="AJ138" s="5">
        <v>0</v>
      </c>
      <c r="AK138" s="5">
        <v>0</v>
      </c>
      <c r="AL138" s="5">
        <v>0</v>
      </c>
      <c r="AM138" s="5">
        <v>0</v>
      </c>
      <c r="AN138" s="5">
        <v>0</v>
      </c>
      <c r="AO138" s="5">
        <f t="shared" si="141"/>
        <v>0</v>
      </c>
      <c r="AP138" s="5">
        <f t="shared" ref="AP138:AP148" si="146">IF(AM138&gt;0,SUM(Z138:AD138)-AN138,0)</f>
        <v>0</v>
      </c>
      <c r="AQ138" s="5">
        <v>0</v>
      </c>
      <c r="AR138" s="5">
        <v>0</v>
      </c>
      <c r="AS138" s="5">
        <v>0</v>
      </c>
      <c r="AT138" s="5">
        <v>16450</v>
      </c>
      <c r="AU138" s="5">
        <v>0</v>
      </c>
      <c r="AV138" s="5">
        <v>350</v>
      </c>
      <c r="AW138" s="265">
        <v>66.5</v>
      </c>
      <c r="AX138" s="265">
        <v>1</v>
      </c>
      <c r="AY138" s="199">
        <v>0</v>
      </c>
      <c r="AZ138" s="199">
        <v>0</v>
      </c>
      <c r="BA138" s="5">
        <v>70648.25</v>
      </c>
      <c r="BB138" s="13">
        <v>0</v>
      </c>
      <c r="BC138" s="266">
        <f>MAX(ROUND(IF(F138&lt;4,IF(H138=0,(SUM(Y138:AD138)*Worksheet!$E$26+Y138*Worksheet!$E$27+AR138*Worksheet!$E$39)*-BaseRate,0)),2),MIN(0,-DI138))</f>
        <v>0</v>
      </c>
      <c r="BD138" s="266">
        <f>MAX(ROUND(IF(F138=4,0,IF(I138=0,0,ROUND(SUM(Y138:AD138)*Worksheet!$E$28,2)*-BaseRate)),2),MIN(0,-DI138-BC138))</f>
        <v>0</v>
      </c>
      <c r="BE138" s="267">
        <f t="shared" si="134"/>
        <v>0</v>
      </c>
      <c r="BF138" s="267">
        <f t="shared" si="135"/>
        <v>0</v>
      </c>
      <c r="BG138" s="268"/>
      <c r="BH138" s="269">
        <f t="shared" si="136"/>
        <v>0</v>
      </c>
      <c r="BI138" s="269">
        <f t="shared" si="137"/>
        <v>12373.43</v>
      </c>
      <c r="BJ138" s="270">
        <f>IFERROR(ROUND(IF(AND(BB138*1.12&lt;N138*60/1000,N138/CL138&lt;STVPP*0.2),(CL138*STVPP*0.2*Worksheet!$F$88/1000-BB138*1.12)*PropTaxAdj,IF(BB138*1.12&lt;N138*60/1000,(N138*60/1000-BB138*1.12)*PropTaxAdj,0)),2),0)</f>
        <v>0</v>
      </c>
      <c r="BK138" s="271">
        <f>ROUND(IF($F138=4,0,Y138*Worksheet!$E$16),2)</f>
        <v>0</v>
      </c>
      <c r="BL138" s="271">
        <f>ROUND(IF($F138=4,0,Z138*Worksheet!$E$17),2)</f>
        <v>0</v>
      </c>
      <c r="BM138" s="271">
        <f>ROUND(IF($F138=4,0,AA138*Worksheet!$E$18),2)</f>
        <v>0</v>
      </c>
      <c r="BN138" s="271">
        <f>ROUND(IF($F138=4,0,AB138*Worksheet!$E$19),2)</f>
        <v>0</v>
      </c>
      <c r="BO138" s="271">
        <f>ROUND(IF($F138=4,0,AC138*Worksheet!$E$20),2)</f>
        <v>0</v>
      </c>
      <c r="BP138" s="271">
        <f>ROUND(AD138*Worksheet!$E$21,2)</f>
        <v>0</v>
      </c>
      <c r="BQ138" s="271">
        <f t="shared" si="105"/>
        <v>0</v>
      </c>
      <c r="BR138" s="271">
        <f>ROUND(AD138*Worksheet!$E$25,2)</f>
        <v>0</v>
      </c>
      <c r="BS138" s="271">
        <f>ROUND(SUM(BQ138)*Worksheet!$E$26,2)</f>
        <v>0</v>
      </c>
      <c r="BT138" s="271">
        <f>ROUND(Y138*Worksheet!$E$27,2)</f>
        <v>0</v>
      </c>
      <c r="BU138" s="271">
        <f>ROUND(AO138*Worksheet!$E$29,2)</f>
        <v>0</v>
      </c>
      <c r="BV138" s="271">
        <f>ROUND(AP138*Worksheet!$E$30,2)</f>
        <v>0</v>
      </c>
      <c r="BW138" s="271">
        <f>ROUND(IF($I138&lt;&gt;0,$BQ138*Worksheet!$E$28,0),2)</f>
        <v>0</v>
      </c>
      <c r="BX138" s="271">
        <f>ROUND(AE138*Worksheet!$E$31,2)</f>
        <v>0</v>
      </c>
      <c r="BY138" s="271">
        <f>ROUND(AF138*Worksheet!$E$32,2)</f>
        <v>0</v>
      </c>
      <c r="BZ138" s="271">
        <f>ROUND(AG138*Worksheet!$E$33,2)</f>
        <v>0</v>
      </c>
      <c r="CA138" s="271">
        <f>ROUND(ROUND(AH138*BQ138,2)*Worksheet!$E$34,2)</f>
        <v>0</v>
      </c>
      <c r="CB138" s="271">
        <f>ROUND(AI138*Worksheet!$E$35,2)</f>
        <v>0</v>
      </c>
      <c r="CC138" s="271">
        <f>ROUND(AJ138*Worksheet!$E$36,2)</f>
        <v>0</v>
      </c>
      <c r="CD138" s="271">
        <f>ROUND(AQ138*Worksheet!$E$38,2)</f>
        <v>0</v>
      </c>
      <c r="CE138" s="271">
        <f>ROUND(AR138*Worksheet!$E$39,2)</f>
        <v>0</v>
      </c>
      <c r="CF138" s="271">
        <f>IF(AND(L138&gt;275,SUM(Y138:AD138)&lt;100),ROUND(SUM(Y138:AD138)*Worksheet!$E$41,2),0)</f>
        <v>0</v>
      </c>
      <c r="CG138" s="271">
        <f>IF(AND(L138&gt;600,SUM(Y138:AD138)&lt;50),ROUND((50-SUM(Y138:AD138))*(Worksheet!$E$41+1),2),0)</f>
        <v>0</v>
      </c>
      <c r="CH138" s="271">
        <f t="shared" si="106"/>
        <v>0</v>
      </c>
      <c r="CI138" s="271">
        <f t="shared" si="142"/>
        <v>0</v>
      </c>
      <c r="CJ138" s="271">
        <f t="shared" si="143"/>
        <v>0</v>
      </c>
      <c r="CK138" s="272">
        <f t="shared" si="138"/>
        <v>0</v>
      </c>
      <c r="CL138" s="271">
        <f t="shared" si="144"/>
        <v>0</v>
      </c>
      <c r="CM138" s="271">
        <f t="shared" si="145"/>
        <v>0</v>
      </c>
      <c r="CN138" s="271">
        <f t="shared" si="139"/>
        <v>0</v>
      </c>
      <c r="CO138" s="273">
        <f>ROUND(IF(F138=4,0,(MAX(ROUND(MAX((BI138*MIN(CL138,K138)*Worksheet!$D$126)+MAX(CL138-K138,0)*Worksheet!$F$50,SUM(J138)),2),SUM(CN138))-SUM(CN138))*MinAdj),2)</f>
        <v>0</v>
      </c>
      <c r="CP138" s="271">
        <f t="shared" si="140"/>
        <v>0</v>
      </c>
      <c r="CQ138" s="273">
        <f>IF(CL138=0,0,-MIN(CP138,MIN(CP138,ROUND(IF(ROUND(IF(CL138=0,0,N138/CL138),2)&lt;STVPP*0.2,STVPP*0.2*CL138*Worksheet!$F$88/1000,N138*Worksheet!$F$88/1000),2))))</f>
        <v>0</v>
      </c>
      <c r="CR138" s="273">
        <f>-MIN(SUM(CP138,CQ138),IF($P138=0,(ROUND(Worksheet!$E$77*S138,2)+ROUND(Worksheet!$E$78*T138,2)+ROUND(Worksheet!$E$79*U138,2)+ROUND(Worksheet!$E$80*V138,2)+ROUND(Worksheet!$E$81*W138,2)+ROUND(Worksheet!$E$82*X138,2)),(ROUND(ROUND(S138*ROUND((1-$O138/$P138),4),2)*Worksheet!$E$77,2)+ROUND(ROUND(T138*ROUND((1-$O138/$P138),4),2)*Worksheet!$E$78,2)+ROUND(ROUND(U138*ROUND((1-$O138/$P138),4),2)*Worksheet!$E$79,2)+ROUND(ROUND(V138*ROUND((1-$O138/$P138),4),2)*Worksheet!$E$80,2)+ROUND(ROUND(W138*ROUND((1-$O138/$P138),4),2)*Worksheet!$E$81,2)+ROUND(ROUND(X138*ROUND((1-$O138/$P138),4),2)*Worksheet!$E$82,2))))</f>
        <v>0</v>
      </c>
      <c r="CS138" s="271">
        <f t="shared" si="107"/>
        <v>0</v>
      </c>
      <c r="CT138" s="271">
        <f>ROUND(MIN(BA138,ROUND((ROUND(AS138*Worksheet!$E$104,2)+ROUND(AV138*Worksheet!$E$107,2)+ROUND(AT138*Worksheet!$E$105,2)+ROUND(AW138*Worksheet!$E$108,2)+ROUND(AU138*Worksheet!$E$106,2)+ROUND(AX138*Worksheet!$E$109,2)+ROUND(AY138*Worksheet!$E$110,2)+ROUND(AZ138*Worksheet!$E$111,2))*Worksheet!$D$114,2))*BaseRate,2)</f>
        <v>25825.26</v>
      </c>
      <c r="CU138" s="274">
        <v>0</v>
      </c>
      <c r="CV138" s="274">
        <v>0</v>
      </c>
      <c r="CW138" s="274">
        <v>0</v>
      </c>
      <c r="CX138" s="274">
        <v>0</v>
      </c>
      <c r="CY138" s="274">
        <v>0</v>
      </c>
      <c r="DA138" s="271">
        <f t="shared" si="108"/>
        <v>0</v>
      </c>
      <c r="DB138" s="271">
        <f>MAX(-CT138,MIN(0,ROUND($R138*EFBPercent+EFBAdd,2)-$Q138),MIN(0,SUM($CS138:CS138)+MIN(0,ROUND($R138*EFBPercent+EFBAdd,2)-$Q138)))</f>
        <v>0</v>
      </c>
      <c r="DC138" s="271">
        <f>IF(CU138&lt;0,0,MAX(-CU138,MIN(0,ROUND($R138*EFBPercent+EFBAdd,2)-$Q138),MIN(0,SUM($CS138:CT138)+MIN(0,ROUND($R138*EFBPercent+EFBAdd,2)-$Q138))))</f>
        <v>0</v>
      </c>
      <c r="DD138" s="271">
        <f>IF(CV138&lt;0,0,MAX(-CV138,MIN(0,ROUND($R138*EFBPercent+EFBAdd,2)-$Q138),MIN(0,SUM($CS138:CU138)+MIN(0,ROUND($R138*EFBPercent+EFBAdd,2)-$Q138))))</f>
        <v>0</v>
      </c>
      <c r="DE138" s="271">
        <f>IF(CW138&lt;0,0,MAX(-CW138,MIN(0,ROUND($R138*EFBPercent+EFBAdd,2)-$Q138),MIN(0,SUM($CS138:CV138)+MIN(0,ROUND($R138*EFBPercent+EFBAdd,2)-$Q138))))</f>
        <v>0</v>
      </c>
      <c r="DF138" s="271">
        <f>IF(CX138&lt;0,0,MAX(-CX138,MIN(0,ROUND($R138*EFBPercent+EFBAdd,2)-$Q138),MIN(0,SUM($CS138:CW138)+MIN(0,ROUND($R138*EFBPercent+EFBAdd,2)-$Q138))))</f>
        <v>0</v>
      </c>
      <c r="DG138" s="271">
        <f>MAX(-CY138,MIN(0,ROUND($R138*EFBPercent+EFBAdd,2)-$Q138),MIN(0,SUM($CS138:CX138)+MIN(0,ROUND($R138*EFBPercent+EFBAdd,2)-$Q138)))</f>
        <v>0</v>
      </c>
      <c r="DI138" s="268">
        <f t="shared" si="109"/>
        <v>0</v>
      </c>
      <c r="DJ138" s="268">
        <f t="shared" si="110"/>
        <v>25825.26</v>
      </c>
      <c r="DK138" s="268">
        <f t="shared" si="111"/>
        <v>0</v>
      </c>
      <c r="DL138" s="268">
        <f t="shared" si="112"/>
        <v>0</v>
      </c>
      <c r="DM138" s="268">
        <f t="shared" si="113"/>
        <v>0</v>
      </c>
      <c r="DN138" s="268">
        <f t="shared" si="114"/>
        <v>0</v>
      </c>
      <c r="DO138" s="268">
        <f t="shared" si="115"/>
        <v>0</v>
      </c>
      <c r="DP138" s="268"/>
      <c r="DQ138" s="268"/>
    </row>
    <row r="139" spans="1:121" ht="10.199999999999999" x14ac:dyDescent="0.2">
      <c r="A139" s="4" t="s">
        <v>605</v>
      </c>
      <c r="B139" s="188">
        <v>1084</v>
      </c>
      <c r="C139" s="189" t="s">
        <v>129</v>
      </c>
      <c r="D139" s="4">
        <v>2027</v>
      </c>
      <c r="E139" s="4" t="s">
        <v>443</v>
      </c>
      <c r="F139" s="4">
        <v>1</v>
      </c>
      <c r="G139" s="4" t="s">
        <v>676</v>
      </c>
      <c r="H139" s="4">
        <v>100</v>
      </c>
      <c r="I139" s="4" t="s">
        <v>853</v>
      </c>
      <c r="J139" s="5">
        <v>6517995.1200000001</v>
      </c>
      <c r="K139" s="5">
        <v>675.72</v>
      </c>
      <c r="L139" s="5">
        <v>429</v>
      </c>
      <c r="M139" s="5">
        <v>0</v>
      </c>
      <c r="N139" s="5">
        <v>22920544</v>
      </c>
      <c r="O139" s="5">
        <v>0</v>
      </c>
      <c r="P139" s="5">
        <v>98.21</v>
      </c>
      <c r="Q139" s="5">
        <v>0</v>
      </c>
      <c r="R139" s="5">
        <v>0</v>
      </c>
      <c r="S139" s="5">
        <v>0</v>
      </c>
      <c r="T139" s="5">
        <v>0</v>
      </c>
      <c r="U139" s="5">
        <v>0</v>
      </c>
      <c r="V139" s="5">
        <v>25917.54</v>
      </c>
      <c r="W139" s="5">
        <v>1789.41</v>
      </c>
      <c r="X139" s="5">
        <v>20517.14</v>
      </c>
      <c r="Y139" s="5">
        <v>1.68</v>
      </c>
      <c r="Z139" s="5">
        <v>36</v>
      </c>
      <c r="AA139" s="5">
        <v>268</v>
      </c>
      <c r="AB139" s="5">
        <v>100</v>
      </c>
      <c r="AC139" s="5">
        <v>178</v>
      </c>
      <c r="AD139" s="5">
        <v>0</v>
      </c>
      <c r="AE139" s="5">
        <v>0</v>
      </c>
      <c r="AF139" s="5">
        <v>2.5099999999999998</v>
      </c>
      <c r="AG139" s="5">
        <v>1.72</v>
      </c>
      <c r="AH139" s="5">
        <v>0.30299999999999999</v>
      </c>
      <c r="AI139" s="5">
        <v>0</v>
      </c>
      <c r="AJ139" s="5">
        <v>0</v>
      </c>
      <c r="AK139" s="5">
        <v>0</v>
      </c>
      <c r="AL139" s="5">
        <v>576.64</v>
      </c>
      <c r="AM139" s="5">
        <v>0</v>
      </c>
      <c r="AN139" s="5">
        <v>582</v>
      </c>
      <c r="AO139" s="5">
        <f t="shared" si="141"/>
        <v>0</v>
      </c>
      <c r="AP139" s="5">
        <f t="shared" si="146"/>
        <v>0</v>
      </c>
      <c r="AQ139" s="5">
        <v>18.809999999999999</v>
      </c>
      <c r="AR139" s="5">
        <v>0.09</v>
      </c>
      <c r="AS139" s="5">
        <v>0</v>
      </c>
      <c r="AT139" s="5">
        <v>97650</v>
      </c>
      <c r="AU139" s="5">
        <v>0</v>
      </c>
      <c r="AV139" s="5">
        <v>2450</v>
      </c>
      <c r="AW139" s="5">
        <v>429</v>
      </c>
      <c r="AX139" s="5">
        <v>3</v>
      </c>
      <c r="AY139" s="199">
        <v>0</v>
      </c>
      <c r="AZ139" s="199">
        <v>0</v>
      </c>
      <c r="BA139" s="5">
        <v>419572.97</v>
      </c>
      <c r="BB139" s="13">
        <v>1422935.7</v>
      </c>
      <c r="BC139" s="190">
        <f>MAX(ROUND(IF(F139&lt;4,IF(H139=0,(SUM(Y139:AD139)*Worksheet!$E$26+Y139*Worksheet!$E$27+AR139*Worksheet!$E$39)*-BaseRate,0)),2),MIN(0,-DI139))</f>
        <v>0</v>
      </c>
      <c r="BD139" s="190">
        <f>MAX(ROUND(IF(F139=4,0,IF(I139=0,0,ROUND(SUM(Y139:AD139)*Worksheet!$E$28,2)*-BaseRate)),2),MIN(0,-DI139-BC139))</f>
        <v>-13610.61</v>
      </c>
      <c r="BE139" s="130">
        <f t="shared" si="134"/>
        <v>0</v>
      </c>
      <c r="BF139" s="130">
        <f t="shared" si="135"/>
        <v>1408</v>
      </c>
      <c r="BG139" s="73"/>
      <c r="BH139" s="191">
        <f t="shared" si="136"/>
        <v>34405.93</v>
      </c>
      <c r="BI139" s="191">
        <f t="shared" si="137"/>
        <v>9646</v>
      </c>
      <c r="BJ139" s="232">
        <f>IFERROR(ROUND(IF(AND(BB139*1.12&lt;N139*60/1000,N139/CL139&lt;STVPP*0.2),(CL139*STVPP*0.2*Worksheet!$F$88/1000-BB139*1.12)*PropTaxAdj,IF(BB139*1.12&lt;N139*60/1000,(N139*60/1000-BB139*1.12)*PropTaxAdj,0)),2),0)</f>
        <v>0</v>
      </c>
      <c r="BK139" s="192">
        <f>ROUND(IF($F139=4,0,Y139*Worksheet!$E$16),2)</f>
        <v>1.68</v>
      </c>
      <c r="BL139" s="192">
        <f>ROUND(IF($F139=4,0,Z139*Worksheet!$E$17),2)</f>
        <v>36</v>
      </c>
      <c r="BM139" s="192">
        <f>ROUND(IF($F139=4,0,AA139*Worksheet!$E$18),2)</f>
        <v>268</v>
      </c>
      <c r="BN139" s="192">
        <f>ROUND(IF($F139=4,0,AB139*Worksheet!$E$19),2)</f>
        <v>100</v>
      </c>
      <c r="BO139" s="192">
        <f>ROUND(IF($F139=4,0,AC139*Worksheet!$E$20),2)</f>
        <v>178</v>
      </c>
      <c r="BP139" s="192">
        <f>ROUND(AD139*Worksheet!$E$21,2)</f>
        <v>0</v>
      </c>
      <c r="BQ139" s="192">
        <f t="shared" si="105"/>
        <v>583.68000000000006</v>
      </c>
      <c r="BR139" s="192">
        <f>ROUND(AD139*Worksheet!$E$25,2)</f>
        <v>0</v>
      </c>
      <c r="BS139" s="192">
        <f>ROUND(SUM(BQ139)*Worksheet!$E$26,2)</f>
        <v>51.36</v>
      </c>
      <c r="BT139" s="192">
        <f>ROUND(Y139*Worksheet!$E$27,2)</f>
        <v>0.28999999999999998</v>
      </c>
      <c r="BU139" s="192">
        <f>ROUND(AO139*Worksheet!$E$29,2)</f>
        <v>0</v>
      </c>
      <c r="BV139" s="192">
        <f>ROUND(AP139*Worksheet!$E$30,2)</f>
        <v>0</v>
      </c>
      <c r="BW139" s="192">
        <f>ROUND(IF($I139&lt;&gt;0,$BQ139*Worksheet!$E$28,0),2)</f>
        <v>1.17</v>
      </c>
      <c r="BX139" s="192">
        <f>ROUND(AE139*Worksheet!$E$31,2)</f>
        <v>0</v>
      </c>
      <c r="BY139" s="192">
        <f>ROUND(AF139*Worksheet!$E$32,2)</f>
        <v>0.7</v>
      </c>
      <c r="BZ139" s="192">
        <f>ROUND(AG139*Worksheet!$E$33,2)</f>
        <v>0.12</v>
      </c>
      <c r="CA139" s="192">
        <f>ROUND(ROUND(AH139*BQ139,2)*Worksheet!$E$34,2)</f>
        <v>4.42</v>
      </c>
      <c r="CB139" s="192">
        <f>ROUND(AI139*Worksheet!$E$35,2)</f>
        <v>0</v>
      </c>
      <c r="CC139" s="192">
        <f>ROUND(AJ139*Worksheet!$E$36,2)</f>
        <v>0</v>
      </c>
      <c r="CD139" s="192">
        <f>ROUND(AQ139*Worksheet!$E$38,2)</f>
        <v>11.29</v>
      </c>
      <c r="CE139" s="192">
        <f>ROUND(AR139*Worksheet!$E$39,2)</f>
        <v>0.09</v>
      </c>
      <c r="CF139" s="192">
        <f>IF(AND(L139&gt;275,SUM(Y139:AD139)&lt;100),ROUND(SUM(Y139:AD139)*Worksheet!$E$41,2),0)</f>
        <v>0</v>
      </c>
      <c r="CG139" s="192">
        <f>IF(AND(L139&gt;600,SUM(Y139:AD139)&lt;50),ROUND((50-SUM(Y139:AD139))*(Worksheet!$E$41+1),2),0)</f>
        <v>0</v>
      </c>
      <c r="CH139" s="192">
        <f t="shared" si="106"/>
        <v>653.12</v>
      </c>
      <c r="CI139" s="116">
        <f t="shared" si="142"/>
        <v>0</v>
      </c>
      <c r="CJ139" s="116">
        <f t="shared" si="143"/>
        <v>653.12</v>
      </c>
      <c r="CK139" s="95">
        <f t="shared" si="138"/>
        <v>1.02</v>
      </c>
      <c r="CL139" s="116">
        <f t="shared" si="144"/>
        <v>666.18</v>
      </c>
      <c r="CM139" s="116">
        <f t="shared" si="145"/>
        <v>666.18</v>
      </c>
      <c r="CN139" s="116">
        <f t="shared" si="139"/>
        <v>7749671.9400000004</v>
      </c>
      <c r="CO139" s="131">
        <f>ROUND(IF(F139=4,0,(MAX(ROUND(MAX((BI139*MIN(CL139,K139)*Worksheet!$D$126)+MAX(CL139-K139,0)*Worksheet!$F$50,SUM(J139)),2),SUM(CN139))-SUM(CN139))*MinAdj),2)</f>
        <v>0</v>
      </c>
      <c r="CP139" s="192">
        <f t="shared" si="140"/>
        <v>7749671.9400000004</v>
      </c>
      <c r="CQ139" s="131">
        <f>IF(CL139=0,0,-MIN(CP139,MIN(CP139,ROUND(IF(ROUND(IF(CL139=0,0,N139/CL139),2)&lt;STVPP*0.2,STVPP*0.2*CL139*Worksheet!$F$88/1000,N139*Worksheet!$F$88/1000),2))))</f>
        <v>-1375232.64</v>
      </c>
      <c r="CR139" s="193">
        <f>-MIN(SUM(CP139,CQ139),IF($P139=0,(ROUND(Worksheet!$E$77*S139,2)+ROUND(Worksheet!$E$78*T139,2)+ROUND(Worksheet!$E$79*U139,2)+ROUND(Worksheet!$E$80*V139,2)+ROUND(Worksheet!$E$81*W139,2)+ROUND(Worksheet!$E$82*X139,2)),(ROUND(ROUND(S139*ROUND((1-$O139/$P139),4),2)*Worksheet!$E$77,2)+ROUND(ROUND(T139*ROUND((1-$O139/$P139),4),2)*Worksheet!$E$78,2)+ROUND(ROUND(U139*ROUND((1-$O139/$P139),4),2)*Worksheet!$E$79,2)+ROUND(ROUND(V139*ROUND((1-$O139/$P139),4),2)*Worksheet!$E$80,2)+ROUND(ROUND(W139*ROUND((1-$O139/$P139),4),2)*Worksheet!$E$81,2)+ROUND(ROUND(X139*ROUND((1-$O139/$P139),4),2)*Worksheet!$E$82,2))))</f>
        <v>-36168.080000000002</v>
      </c>
      <c r="CS139" s="192">
        <f t="shared" si="107"/>
        <v>6338271.2200000007</v>
      </c>
      <c r="CT139" s="116">
        <f>ROUND(MIN(BA139,ROUND((ROUND(AS139*Worksheet!$E$104,2)+ROUND(AV139*Worksheet!$E$107,2)+ROUND(AT139*Worksheet!$E$105,2)+ROUND(AW139*Worksheet!$E$108,2)+ROUND(AU139*Worksheet!$E$106,2)+ROUND(AX139*Worksheet!$E$109,2)+ROUND(AY139*Worksheet!$E$110,2)+ROUND(AZ139*Worksheet!$E$111,2))*Worksheet!$D$114,2))*BaseRate,2)</f>
        <v>151461.66</v>
      </c>
      <c r="CU139" s="121">
        <v>0</v>
      </c>
      <c r="CV139" s="121">
        <v>0</v>
      </c>
      <c r="CW139" s="121">
        <v>0</v>
      </c>
      <c r="CX139" s="121">
        <v>0</v>
      </c>
      <c r="CY139" s="121">
        <v>0</v>
      </c>
      <c r="DA139" s="192">
        <f t="shared" si="108"/>
        <v>0</v>
      </c>
      <c r="DB139" s="192">
        <f>MAX(-CT139,MIN(0,ROUND($R139*EFBPercent+EFBAdd,2)-$Q139),MIN(0,SUM($CS139:CS139)+MIN(0,ROUND($R139*EFBPercent+EFBAdd,2)-$Q139)))</f>
        <v>0</v>
      </c>
      <c r="DC139" s="192">
        <f>IF(CU139&lt;0,0,MAX(-CU139,MIN(0,ROUND($R139*EFBPercent+EFBAdd,2)-$Q139),MIN(0,SUM($CS139:CT139)+MIN(0,ROUND($R139*EFBPercent+EFBAdd,2)-$Q139))))</f>
        <v>0</v>
      </c>
      <c r="DD139" s="192">
        <f>IF(CV139&lt;0,0,MAX(-CV139,MIN(0,ROUND($R139*EFBPercent+EFBAdd,2)-$Q139),MIN(0,SUM($CS139:CU139)+MIN(0,ROUND($R139*EFBPercent+EFBAdd,2)-$Q139))))</f>
        <v>0</v>
      </c>
      <c r="DE139" s="192">
        <f>IF(CW139&lt;0,0,MAX(-CW139,MIN(0,ROUND($R139*EFBPercent+EFBAdd,2)-$Q139),MIN(0,SUM($CS139:CV139)+MIN(0,ROUND($R139*EFBPercent+EFBAdd,2)-$Q139))))</f>
        <v>0</v>
      </c>
      <c r="DF139" s="192">
        <f>IF(CX139&lt;0,0,MAX(-CX139,MIN(0,ROUND($R139*EFBPercent+EFBAdd,2)-$Q139),MIN(0,SUM($CS139:CW139)+MIN(0,ROUND($R139*EFBPercent+EFBAdd,2)-$Q139))))</f>
        <v>0</v>
      </c>
      <c r="DG139" s="192">
        <f>MAX(-CY139,MIN(0,ROUND($R139*EFBPercent+EFBAdd,2)-$Q139),MIN(0,SUM($CS139:CX139)+MIN(0,ROUND($R139*EFBPercent+EFBAdd,2)-$Q139)))</f>
        <v>0</v>
      </c>
      <c r="DI139" s="73">
        <f t="shared" si="109"/>
        <v>6338271.2200000007</v>
      </c>
      <c r="DJ139" s="73">
        <f t="shared" si="110"/>
        <v>151461.66</v>
      </c>
      <c r="DK139" s="73">
        <f t="shared" si="111"/>
        <v>0</v>
      </c>
      <c r="DL139" s="73">
        <f t="shared" si="112"/>
        <v>0</v>
      </c>
      <c r="DM139" s="73">
        <f t="shared" si="113"/>
        <v>0</v>
      </c>
      <c r="DN139" s="73">
        <f t="shared" si="114"/>
        <v>0</v>
      </c>
      <c r="DO139" s="73">
        <f t="shared" si="115"/>
        <v>0</v>
      </c>
      <c r="DP139" s="73"/>
      <c r="DQ139" s="73"/>
    </row>
    <row r="140" spans="1:121" ht="10.199999999999999" x14ac:dyDescent="0.2">
      <c r="A140" s="4" t="s">
        <v>606</v>
      </c>
      <c r="B140" s="188">
        <v>1037</v>
      </c>
      <c r="C140" s="189" t="s">
        <v>489</v>
      </c>
      <c r="D140" s="4">
        <v>2027</v>
      </c>
      <c r="E140" s="4" t="s">
        <v>130</v>
      </c>
      <c r="F140" s="4">
        <v>1</v>
      </c>
      <c r="G140" s="4" t="s">
        <v>676</v>
      </c>
      <c r="H140" s="4">
        <v>100</v>
      </c>
      <c r="I140" s="4" t="s">
        <v>853</v>
      </c>
      <c r="J140" s="5">
        <v>3632297.76</v>
      </c>
      <c r="K140" s="5">
        <v>376.56</v>
      </c>
      <c r="L140" s="5">
        <v>416.38</v>
      </c>
      <c r="M140" s="5">
        <v>0</v>
      </c>
      <c r="N140" s="5">
        <v>18869543</v>
      </c>
      <c r="O140" s="5">
        <v>6.06</v>
      </c>
      <c r="P140" s="5">
        <v>96.759999999999991</v>
      </c>
      <c r="Q140" s="5">
        <v>0</v>
      </c>
      <c r="R140" s="5">
        <v>0</v>
      </c>
      <c r="S140" s="5">
        <v>4218.4799999999996</v>
      </c>
      <c r="T140" s="5">
        <v>0</v>
      </c>
      <c r="U140" s="5">
        <v>0</v>
      </c>
      <c r="V140" s="5">
        <v>22470.97</v>
      </c>
      <c r="W140" s="5">
        <v>4133.96</v>
      </c>
      <c r="X140" s="5">
        <v>45015.28</v>
      </c>
      <c r="Y140" s="5">
        <v>2.4700000000000002</v>
      </c>
      <c r="Z140" s="5">
        <v>33</v>
      </c>
      <c r="AA140" s="5">
        <v>134</v>
      </c>
      <c r="AB140" s="5">
        <v>49</v>
      </c>
      <c r="AC140" s="5">
        <v>97</v>
      </c>
      <c r="AD140" s="5">
        <v>0</v>
      </c>
      <c r="AE140" s="5">
        <v>0</v>
      </c>
      <c r="AF140" s="5">
        <v>2</v>
      </c>
      <c r="AG140" s="5">
        <v>3</v>
      </c>
      <c r="AH140" s="5">
        <v>0.30199999999999999</v>
      </c>
      <c r="AI140" s="5">
        <v>0</v>
      </c>
      <c r="AJ140" s="5">
        <v>0</v>
      </c>
      <c r="AK140" s="5">
        <v>0</v>
      </c>
      <c r="AL140" s="5">
        <v>310.36</v>
      </c>
      <c r="AM140" s="5">
        <v>12.370000000000005</v>
      </c>
      <c r="AN140" s="5">
        <v>313</v>
      </c>
      <c r="AO140" s="5">
        <f t="shared" si="141"/>
        <v>0</v>
      </c>
      <c r="AP140" s="5">
        <f t="shared" si="146"/>
        <v>0</v>
      </c>
      <c r="AQ140" s="5">
        <v>4.8600000000000003</v>
      </c>
      <c r="AR140" s="5">
        <v>0.06</v>
      </c>
      <c r="AS140" s="5">
        <v>4368</v>
      </c>
      <c r="AT140" s="5">
        <v>88740</v>
      </c>
      <c r="AU140" s="5">
        <v>336</v>
      </c>
      <c r="AV140" s="5">
        <v>3132</v>
      </c>
      <c r="AW140" s="5">
        <v>416.38</v>
      </c>
      <c r="AX140" s="5">
        <v>2</v>
      </c>
      <c r="AY140" s="199">
        <v>0</v>
      </c>
      <c r="AZ140" s="199">
        <v>0</v>
      </c>
      <c r="BA140" s="5">
        <v>429013.68</v>
      </c>
      <c r="BB140" s="13">
        <v>1141437.78</v>
      </c>
      <c r="BC140" s="190">
        <f>MAX(ROUND(IF(F140&lt;4,IF(H140=0,(SUM(Y140:AD140)*Worksheet!$E$26+Y140*Worksheet!$E$27+AR140*Worksheet!$E$39)*-BaseRate,0)),2),MIN(0,-DI140))</f>
        <v>0</v>
      </c>
      <c r="BD140" s="190">
        <f>MAX(ROUND(IF(F140=4,0,IF(I140=0,0,ROUND(SUM(Y140:AD140)*Worksheet!$E$28,2)*-BaseRate)),2),MIN(0,-DI140-BC140))</f>
        <v>-7328.79</v>
      </c>
      <c r="BE140" s="130">
        <f t="shared" si="134"/>
        <v>0</v>
      </c>
      <c r="BF140" s="130">
        <f t="shared" si="135"/>
        <v>1408</v>
      </c>
      <c r="BG140" s="73"/>
      <c r="BH140" s="191">
        <f t="shared" si="136"/>
        <v>48954.58</v>
      </c>
      <c r="BI140" s="191">
        <f t="shared" si="137"/>
        <v>9646</v>
      </c>
      <c r="BJ140" s="232">
        <f>IFERROR(ROUND(IF(AND(BB140*1.12&lt;N140*60/1000,N140/CL140&lt;STVPP*0.2),(CL140*STVPP*0.2*Worksheet!$F$88/1000-BB140*1.12)*PropTaxAdj,IF(BB140*1.12&lt;N140*60/1000,(N140*60/1000-BB140*1.12)*PropTaxAdj,0)),2),0)</f>
        <v>0</v>
      </c>
      <c r="BK140" s="192">
        <f>ROUND(IF($F140=4,0,Y140*Worksheet!$E$16),2)</f>
        <v>2.4700000000000002</v>
      </c>
      <c r="BL140" s="192">
        <f>ROUND(IF($F140=4,0,Z140*Worksheet!$E$17),2)</f>
        <v>33</v>
      </c>
      <c r="BM140" s="192">
        <f>ROUND(IF($F140=4,0,AA140*Worksheet!$E$18),2)</f>
        <v>134</v>
      </c>
      <c r="BN140" s="192">
        <f>ROUND(IF($F140=4,0,AB140*Worksheet!$E$19),2)</f>
        <v>49</v>
      </c>
      <c r="BO140" s="192">
        <f>ROUND(IF($F140=4,0,AC140*Worksheet!$E$20),2)</f>
        <v>97</v>
      </c>
      <c r="BP140" s="192">
        <f>ROUND(AD140*Worksheet!$E$21,2)</f>
        <v>0</v>
      </c>
      <c r="BQ140" s="192">
        <f t="shared" si="105"/>
        <v>315.47000000000003</v>
      </c>
      <c r="BR140" s="192">
        <f>ROUND(AD140*Worksheet!$E$25,2)</f>
        <v>0</v>
      </c>
      <c r="BS140" s="192">
        <f>ROUND(SUM(BQ140)*Worksheet!$E$26,2)</f>
        <v>27.76</v>
      </c>
      <c r="BT140" s="192">
        <f>ROUND(Y140*Worksheet!$E$27,2)</f>
        <v>0.42</v>
      </c>
      <c r="BU140" s="192">
        <f>ROUND(AO140*Worksheet!$E$29,2)</f>
        <v>0</v>
      </c>
      <c r="BV140" s="192">
        <f>ROUND(AP140*Worksheet!$E$30,2)</f>
        <v>0</v>
      </c>
      <c r="BW140" s="192">
        <f>ROUND(IF($I140&lt;&gt;0,$BQ140*Worksheet!$E$28,0),2)</f>
        <v>0.63</v>
      </c>
      <c r="BX140" s="192">
        <f>ROUND(AE140*Worksheet!$E$31,2)</f>
        <v>0</v>
      </c>
      <c r="BY140" s="192">
        <f>ROUND(AF140*Worksheet!$E$32,2)</f>
        <v>0.56000000000000005</v>
      </c>
      <c r="BZ140" s="192">
        <f>ROUND(AG140*Worksheet!$E$33,2)</f>
        <v>0.21</v>
      </c>
      <c r="CA140" s="192">
        <f>ROUND(ROUND(AH140*BQ140,2)*Worksheet!$E$34,2)</f>
        <v>2.38</v>
      </c>
      <c r="CB140" s="192">
        <f>ROUND(AI140*Worksheet!$E$35,2)</f>
        <v>0</v>
      </c>
      <c r="CC140" s="192">
        <f>ROUND(AJ140*Worksheet!$E$36,2)</f>
        <v>0</v>
      </c>
      <c r="CD140" s="192">
        <f>ROUND(AQ140*Worksheet!$E$38,2)</f>
        <v>2.92</v>
      </c>
      <c r="CE140" s="192">
        <f>ROUND(AR140*Worksheet!$E$39,2)</f>
        <v>0.06</v>
      </c>
      <c r="CF140" s="192">
        <f>IF(AND(L140&gt;275,SUM(Y140:AD140)&lt;100),ROUND(SUM(Y140:AD140)*Worksheet!$E$41,2),0)</f>
        <v>0</v>
      </c>
      <c r="CG140" s="192">
        <f>IF(AND(L140&gt;600,SUM(Y140:AD140)&lt;50),ROUND((50-SUM(Y140:AD140))*(Worksheet!$E$41+1),2),0)</f>
        <v>0</v>
      </c>
      <c r="CH140" s="192">
        <f t="shared" si="106"/>
        <v>350.41</v>
      </c>
      <c r="CI140" s="116">
        <f t="shared" si="142"/>
        <v>0</v>
      </c>
      <c r="CJ140" s="116">
        <f t="shared" si="143"/>
        <v>350.41</v>
      </c>
      <c r="CK140" s="95">
        <f t="shared" si="138"/>
        <v>1.1000000000000001</v>
      </c>
      <c r="CL140" s="116">
        <f t="shared" si="144"/>
        <v>385.45</v>
      </c>
      <c r="CM140" s="116">
        <f t="shared" si="145"/>
        <v>385.45</v>
      </c>
      <c r="CN140" s="116">
        <f t="shared" si="139"/>
        <v>4483939.8499999996</v>
      </c>
      <c r="CO140" s="131">
        <f>ROUND(IF(F140=4,0,(MAX(ROUND(MAX((BI140*MIN(CL140,K140)*Worksheet!$D$126)+MAX(CL140-K140,0)*Worksheet!$F$50,SUM(J140)),2),SUM(CN140))-SUM(CN140))*MinAdj),2)</f>
        <v>0</v>
      </c>
      <c r="CP140" s="192">
        <f t="shared" si="140"/>
        <v>4483939.8499999996</v>
      </c>
      <c r="CQ140" s="131">
        <f>IF(CL140=0,0,-MIN(CP140,MIN(CP140,ROUND(IF(ROUND(IF(CL140=0,0,N140/CL140),2)&lt;STVPP*0.2,STVPP*0.2*CL140*Worksheet!$F$88/1000,N140*Worksheet!$F$88/1000),2))))</f>
        <v>-1132172.58</v>
      </c>
      <c r="CR140" s="193">
        <f>-MIN(SUM(CP140,CQ140),IF($P140=0,(ROUND(Worksheet!$E$77*S140,2)+ROUND(Worksheet!$E$78*T140,2)+ROUND(Worksheet!$E$79*U140,2)+ROUND(Worksheet!$E$80*V140,2)+ROUND(Worksheet!$E$81*W140,2)+ROUND(Worksheet!$E$82*X140,2)),(ROUND(ROUND(S140*ROUND((1-$O140/$P140),4),2)*Worksheet!$E$77,2)+ROUND(ROUND(T140*ROUND((1-$O140/$P140),4),2)*Worksheet!$E$78,2)+ROUND(ROUND(U140*ROUND((1-$O140/$P140),4),2)*Worksheet!$E$79,2)+ROUND(ROUND(V140*ROUND((1-$O140/$P140),4),2)*Worksheet!$E$80,2)+ROUND(ROUND(W140*ROUND((1-$O140/$P140),4),2)*Worksheet!$E$81,2)+ROUND(ROUND(X140*ROUND((1-$O140/$P140),4),2)*Worksheet!$E$82,2))))</f>
        <v>-53318.39</v>
      </c>
      <c r="CS140" s="192">
        <f t="shared" si="107"/>
        <v>3298448.8799999994</v>
      </c>
      <c r="CT140" s="116">
        <f>ROUND(MIN(BA140,ROUND((ROUND(AS140*Worksheet!$E$104,2)+ROUND(AV140*Worksheet!$E$107,2)+ROUND(AT140*Worksheet!$E$105,2)+ROUND(AW140*Worksheet!$E$108,2)+ROUND(AU140*Worksheet!$E$106,2)+ROUND(AX140*Worksheet!$E$109,2)+ROUND(AY140*Worksheet!$E$110,2)+ROUND(AZ140*Worksheet!$E$111,2))*Worksheet!$D$114,2))*BaseRate,2)</f>
        <v>150065.70000000001</v>
      </c>
      <c r="CU140" s="121">
        <v>0</v>
      </c>
      <c r="CV140" s="121">
        <v>0</v>
      </c>
      <c r="CW140" s="121">
        <v>0</v>
      </c>
      <c r="CX140" s="121">
        <v>0</v>
      </c>
      <c r="CY140" s="121">
        <v>0</v>
      </c>
      <c r="DA140" s="192">
        <f t="shared" si="108"/>
        <v>0</v>
      </c>
      <c r="DB140" s="192">
        <f>MAX(-CT140,MIN(0,ROUND($R140*EFBPercent+EFBAdd,2)-$Q140),MIN(0,SUM($CS140:CS140)+MIN(0,ROUND($R140*EFBPercent+EFBAdd,2)-$Q140)))</f>
        <v>0</v>
      </c>
      <c r="DC140" s="192">
        <f>IF(CU140&lt;0,0,MAX(-CU140,MIN(0,ROUND($R140*EFBPercent+EFBAdd,2)-$Q140),MIN(0,SUM($CS140:CT140)+MIN(0,ROUND($R140*EFBPercent+EFBAdd,2)-$Q140))))</f>
        <v>0</v>
      </c>
      <c r="DD140" s="192">
        <f>IF(CV140&lt;0,0,MAX(-CV140,MIN(0,ROUND($R140*EFBPercent+EFBAdd,2)-$Q140),MIN(0,SUM($CS140:CU140)+MIN(0,ROUND($R140*EFBPercent+EFBAdd,2)-$Q140))))</f>
        <v>0</v>
      </c>
      <c r="DE140" s="192">
        <f>IF(CW140&lt;0,0,MAX(-CW140,MIN(0,ROUND($R140*EFBPercent+EFBAdd,2)-$Q140),MIN(0,SUM($CS140:CV140)+MIN(0,ROUND($R140*EFBPercent+EFBAdd,2)-$Q140))))</f>
        <v>0</v>
      </c>
      <c r="DF140" s="192">
        <f>IF(CX140&lt;0,0,MAX(-CX140,MIN(0,ROUND($R140*EFBPercent+EFBAdd,2)-$Q140),MIN(0,SUM($CS140:CW140)+MIN(0,ROUND($R140*EFBPercent+EFBAdd,2)-$Q140))))</f>
        <v>0</v>
      </c>
      <c r="DG140" s="192">
        <f>MAX(-CY140,MIN(0,ROUND($R140*EFBPercent+EFBAdd,2)-$Q140),MIN(0,SUM($CS140:CX140)+MIN(0,ROUND($R140*EFBPercent+EFBAdd,2)-$Q140)))</f>
        <v>0</v>
      </c>
      <c r="DI140" s="73">
        <f t="shared" si="109"/>
        <v>3298448.8799999994</v>
      </c>
      <c r="DJ140" s="73">
        <f t="shared" si="110"/>
        <v>150065.70000000001</v>
      </c>
      <c r="DK140" s="73">
        <f t="shared" si="111"/>
        <v>0</v>
      </c>
      <c r="DL140" s="73">
        <f t="shared" si="112"/>
        <v>0</v>
      </c>
      <c r="DM140" s="73">
        <f t="shared" si="113"/>
        <v>0</v>
      </c>
      <c r="DN140" s="73">
        <f t="shared" si="114"/>
        <v>0</v>
      </c>
      <c r="DO140" s="73">
        <f t="shared" si="115"/>
        <v>0</v>
      </c>
      <c r="DP140" s="73"/>
      <c r="DQ140" s="73"/>
    </row>
    <row r="141" spans="1:121" ht="10.199999999999999" x14ac:dyDescent="0.2">
      <c r="A141" s="4" t="s">
        <v>607</v>
      </c>
      <c r="B141" s="188">
        <v>1108</v>
      </c>
      <c r="C141" s="189" t="s">
        <v>131</v>
      </c>
      <c r="D141" s="4">
        <v>2027</v>
      </c>
      <c r="E141" s="4" t="s">
        <v>444</v>
      </c>
      <c r="F141" s="4">
        <v>1</v>
      </c>
      <c r="G141" s="4" t="s">
        <v>660</v>
      </c>
      <c r="H141" s="4">
        <v>100</v>
      </c>
      <c r="I141" s="4" t="s">
        <v>855</v>
      </c>
      <c r="J141" s="5">
        <v>4264167.82</v>
      </c>
      <c r="K141" s="5">
        <v>389.28</v>
      </c>
      <c r="L141" s="5">
        <v>814</v>
      </c>
      <c r="M141" s="5">
        <v>0</v>
      </c>
      <c r="N141" s="5">
        <v>25669905</v>
      </c>
      <c r="O141" s="5">
        <v>0</v>
      </c>
      <c r="P141" s="5">
        <v>86.02</v>
      </c>
      <c r="Q141" s="5">
        <v>0</v>
      </c>
      <c r="R141" s="5">
        <v>0</v>
      </c>
      <c r="S141" s="5">
        <v>10931.119999999999</v>
      </c>
      <c r="T141" s="5">
        <v>293878.90000000002</v>
      </c>
      <c r="U141" s="5">
        <v>0</v>
      </c>
      <c r="V141" s="5">
        <v>17314.97</v>
      </c>
      <c r="W141" s="5">
        <v>1298.1299999999999</v>
      </c>
      <c r="X141" s="5">
        <v>28754.14</v>
      </c>
      <c r="Y141" s="5">
        <v>0.01</v>
      </c>
      <c r="Z141" s="5">
        <v>10</v>
      </c>
      <c r="AA141" s="5">
        <v>127</v>
      </c>
      <c r="AB141" s="5">
        <v>45</v>
      </c>
      <c r="AC141" s="5">
        <v>94</v>
      </c>
      <c r="AD141" s="5">
        <v>0</v>
      </c>
      <c r="AE141" s="5">
        <v>0</v>
      </c>
      <c r="AF141" s="5">
        <v>0</v>
      </c>
      <c r="AG141" s="5">
        <v>1</v>
      </c>
      <c r="AH141" s="5">
        <v>0.22500000000000001</v>
      </c>
      <c r="AI141" s="5">
        <v>0</v>
      </c>
      <c r="AJ141" s="5">
        <v>0</v>
      </c>
      <c r="AK141" s="5">
        <v>0</v>
      </c>
      <c r="AL141" s="5">
        <v>273.20999999999998</v>
      </c>
      <c r="AM141" s="5">
        <v>0</v>
      </c>
      <c r="AN141" s="5">
        <v>276</v>
      </c>
      <c r="AO141" s="5">
        <f t="shared" si="141"/>
        <v>0</v>
      </c>
      <c r="AP141" s="5">
        <f t="shared" si="146"/>
        <v>0</v>
      </c>
      <c r="AQ141" s="5">
        <v>0</v>
      </c>
      <c r="AR141" s="5">
        <v>0.05</v>
      </c>
      <c r="AS141" s="5">
        <v>0</v>
      </c>
      <c r="AT141" s="5">
        <v>130130</v>
      </c>
      <c r="AU141" s="5">
        <v>0</v>
      </c>
      <c r="AV141" s="5">
        <v>2028</v>
      </c>
      <c r="AW141" s="5">
        <v>814</v>
      </c>
      <c r="AX141" s="5">
        <v>1</v>
      </c>
      <c r="AY141" s="199">
        <v>0</v>
      </c>
      <c r="AZ141" s="199">
        <v>0</v>
      </c>
      <c r="BA141" s="5">
        <v>452103.31</v>
      </c>
      <c r="BB141" s="13">
        <v>1510057.14</v>
      </c>
      <c r="BC141" s="190">
        <f>MAX(ROUND(IF(F141&lt;4,IF(H141=0,(SUM(Y141:AD141)*Worksheet!$E$26+Y141*Worksheet!$E$27+AR141*Worksheet!$E$39)*-BaseRate,0)),2),MIN(0,-DI141))</f>
        <v>0</v>
      </c>
      <c r="BD141" s="190">
        <f>MAX(ROUND(IF(F141=4,0,IF(I141=0,0,ROUND(SUM(Y141:AD141)*Worksheet!$E$28,2)*-BaseRate)),2),MIN(0,-DI141-BC141))</f>
        <v>-6398.15</v>
      </c>
      <c r="BE141" s="130">
        <f t="shared" si="134"/>
        <v>0</v>
      </c>
      <c r="BF141" s="130">
        <f t="shared" si="135"/>
        <v>1404</v>
      </c>
      <c r="BG141" s="73"/>
      <c r="BH141" s="191">
        <f t="shared" si="136"/>
        <v>72179.47</v>
      </c>
      <c r="BI141" s="191">
        <f t="shared" si="137"/>
        <v>10953.99</v>
      </c>
      <c r="BJ141" s="232">
        <f>IFERROR(ROUND(IF(AND(BB141*1.12&lt;N141*60/1000,N141/CL141&lt;STVPP*0.2),(CL141*STVPP*0.2*Worksheet!$F$88/1000-BB141*1.12)*PropTaxAdj,IF(BB141*1.12&lt;N141*60/1000,(N141*60/1000-BB141*1.12)*PropTaxAdj,0)),2),0)</f>
        <v>0</v>
      </c>
      <c r="BK141" s="192">
        <f>ROUND(IF($F141=4,0,Y141*Worksheet!$E$16),2)</f>
        <v>0.01</v>
      </c>
      <c r="BL141" s="192">
        <f>ROUND(IF($F141=4,0,Z141*Worksheet!$E$17),2)</f>
        <v>10</v>
      </c>
      <c r="BM141" s="192">
        <f>ROUND(IF($F141=4,0,AA141*Worksheet!$E$18),2)</f>
        <v>127</v>
      </c>
      <c r="BN141" s="192">
        <f>ROUND(IF($F141=4,0,AB141*Worksheet!$E$19),2)</f>
        <v>45</v>
      </c>
      <c r="BO141" s="192">
        <f>ROUND(IF($F141=4,0,AC141*Worksheet!$E$20),2)</f>
        <v>94</v>
      </c>
      <c r="BP141" s="192">
        <f>ROUND(AD141*Worksheet!$E$21,2)</f>
        <v>0</v>
      </c>
      <c r="BQ141" s="192">
        <f t="shared" si="105"/>
        <v>276.01</v>
      </c>
      <c r="BR141" s="192">
        <f>ROUND(AD141*Worksheet!$E$25,2)</f>
        <v>0</v>
      </c>
      <c r="BS141" s="192">
        <f>ROUND(SUM(BQ141)*Worksheet!$E$26,2)</f>
        <v>24.29</v>
      </c>
      <c r="BT141" s="192">
        <f>ROUND(Y141*Worksheet!$E$27,2)</f>
        <v>0</v>
      </c>
      <c r="BU141" s="192">
        <f>ROUND(AO141*Worksheet!$E$29,2)</f>
        <v>0</v>
      </c>
      <c r="BV141" s="192">
        <f>ROUND(AP141*Worksheet!$E$30,2)</f>
        <v>0</v>
      </c>
      <c r="BW141" s="192">
        <f>ROUND(IF($I141&lt;&gt;0,$BQ141*Worksheet!$E$28,0),2)</f>
        <v>0.55000000000000004</v>
      </c>
      <c r="BX141" s="192">
        <f>ROUND(AE141*Worksheet!$E$31,2)</f>
        <v>0</v>
      </c>
      <c r="BY141" s="192">
        <f>ROUND(AF141*Worksheet!$E$32,2)</f>
        <v>0</v>
      </c>
      <c r="BZ141" s="192">
        <f>ROUND(AG141*Worksheet!$E$33,2)</f>
        <v>7.0000000000000007E-2</v>
      </c>
      <c r="CA141" s="192">
        <f>ROUND(ROUND(AH141*BQ141,2)*Worksheet!$E$34,2)</f>
        <v>1.55</v>
      </c>
      <c r="CB141" s="192">
        <f>ROUND(AI141*Worksheet!$E$35,2)</f>
        <v>0</v>
      </c>
      <c r="CC141" s="192">
        <f>ROUND(AJ141*Worksheet!$E$36,2)</f>
        <v>0</v>
      </c>
      <c r="CD141" s="192">
        <f>ROUND(AQ141*Worksheet!$E$38,2)</f>
        <v>0</v>
      </c>
      <c r="CE141" s="192">
        <f>ROUND(AR141*Worksheet!$E$39,2)</f>
        <v>0.05</v>
      </c>
      <c r="CF141" s="192">
        <f>IF(AND(L141&gt;275,SUM(Y141:AD141)&lt;100),ROUND(SUM(Y141:AD141)*Worksheet!$E$41,2),0)</f>
        <v>0</v>
      </c>
      <c r="CG141" s="192">
        <f>IF(AND(L141&gt;600,SUM(Y141:AD141)&lt;50),ROUND((50-SUM(Y141:AD141))*(Worksheet!$E$41+1),2),0)</f>
        <v>0</v>
      </c>
      <c r="CH141" s="192">
        <f t="shared" si="106"/>
        <v>302.52000000000004</v>
      </c>
      <c r="CI141" s="116">
        <f t="shared" si="142"/>
        <v>0</v>
      </c>
      <c r="CJ141" s="116">
        <f t="shared" si="143"/>
        <v>302.52000000000004</v>
      </c>
      <c r="CK141" s="95">
        <f t="shared" si="138"/>
        <v>1.1756</v>
      </c>
      <c r="CL141" s="116">
        <f t="shared" si="144"/>
        <v>355.64</v>
      </c>
      <c r="CM141" s="116">
        <f t="shared" si="145"/>
        <v>355.64</v>
      </c>
      <c r="CN141" s="116">
        <f t="shared" si="139"/>
        <v>4137160.12</v>
      </c>
      <c r="CO141" s="131">
        <f>ROUND(IF(F141=4,0,(MAX(ROUND(MAX((BI141*MIN(CL141,K141)*Worksheet!$D$126)+MAX(CL141-K141,0)*Worksheet!$F$50,SUM(J141)),2),SUM(CN141))-SUM(CN141))*MinAdj),2)</f>
        <v>19051.16</v>
      </c>
      <c r="CP141" s="192">
        <f t="shared" si="140"/>
        <v>4156211.2800000003</v>
      </c>
      <c r="CQ141" s="131">
        <f>IF(CL141=0,0,-MIN(CP141,MIN(CP141,ROUND(IF(ROUND(IF(CL141=0,0,N141/CL141),2)&lt;STVPP*0.2,STVPP*0.2*CL141*Worksheet!$F$88/1000,N141*Worksheet!$F$88/1000),2))))</f>
        <v>-1540194.3</v>
      </c>
      <c r="CR141" s="193">
        <f>-MIN(SUM(CP141,CQ141),IF($P141=0,(ROUND(Worksheet!$E$77*S141,2)+ROUND(Worksheet!$E$78*T141,2)+ROUND(Worksheet!$E$79*U141,2)+ROUND(Worksheet!$E$80*V141,2)+ROUND(Worksheet!$E$81*W141,2)+ROUND(Worksheet!$E$82*X141,2)),(ROUND(ROUND(S141*ROUND((1-$O141/$P141),4),2)*Worksheet!$E$77,2)+ROUND(ROUND(T141*ROUND((1-$O141/$P141),4),2)*Worksheet!$E$78,2)+ROUND(ROUND(U141*ROUND((1-$O141/$P141),4),2)*Worksheet!$E$79,2)+ROUND(ROUND(V141*ROUND((1-$O141/$P141),4),2)*Worksheet!$E$80,2)+ROUND(ROUND(W141*ROUND((1-$O141/$P141),4),2)*Worksheet!$E$81,2)+ROUND(ROUND(X141*ROUND((1-$O141/$P141),4),2)*Worksheet!$E$82,2))))</f>
        <v>-264132.96000000002</v>
      </c>
      <c r="CS141" s="192">
        <f t="shared" si="107"/>
        <v>2351884.0200000005</v>
      </c>
      <c r="CT141" s="116">
        <f>ROUND(MIN(BA141,ROUND((ROUND(AS141*Worksheet!$E$104,2)+ROUND(AV141*Worksheet!$E$107,2)+ROUND(AT141*Worksheet!$E$105,2)+ROUND(AW141*Worksheet!$E$108,2)+ROUND(AU141*Worksheet!$E$106,2)+ROUND(AX141*Worksheet!$E$109,2)+ROUND(AY141*Worksheet!$E$110,2)+ROUND(AZ141*Worksheet!$E$111,2))*Worksheet!$D$114,2))*BaseRate,2)</f>
        <v>185430.02</v>
      </c>
      <c r="CU141" s="121">
        <v>0</v>
      </c>
      <c r="CV141" s="121">
        <v>0</v>
      </c>
      <c r="CW141" s="121">
        <v>0</v>
      </c>
      <c r="CX141" s="121">
        <v>0</v>
      </c>
      <c r="CY141" s="121">
        <v>0</v>
      </c>
      <c r="DA141" s="192">
        <f t="shared" si="108"/>
        <v>0</v>
      </c>
      <c r="DB141" s="192">
        <f>MAX(-CT141,MIN(0,ROUND($R141*EFBPercent+EFBAdd,2)-$Q141),MIN(0,SUM($CS141:CS141)+MIN(0,ROUND($R141*EFBPercent+EFBAdd,2)-$Q141)))</f>
        <v>0</v>
      </c>
      <c r="DC141" s="192">
        <f>IF(CU141&lt;0,0,MAX(-CU141,MIN(0,ROUND($R141*EFBPercent+EFBAdd,2)-$Q141),MIN(0,SUM($CS141:CT141)+MIN(0,ROUND($R141*EFBPercent+EFBAdd,2)-$Q141))))</f>
        <v>0</v>
      </c>
      <c r="DD141" s="192">
        <f>IF(CV141&lt;0,0,MAX(-CV141,MIN(0,ROUND($R141*EFBPercent+EFBAdd,2)-$Q141),MIN(0,SUM($CS141:CU141)+MIN(0,ROUND($R141*EFBPercent+EFBAdd,2)-$Q141))))</f>
        <v>0</v>
      </c>
      <c r="DE141" s="192">
        <f>IF(CW141&lt;0,0,MAX(-CW141,MIN(0,ROUND($R141*EFBPercent+EFBAdd,2)-$Q141),MIN(0,SUM($CS141:CV141)+MIN(0,ROUND($R141*EFBPercent+EFBAdd,2)-$Q141))))</f>
        <v>0</v>
      </c>
      <c r="DF141" s="192">
        <f>IF(CX141&lt;0,0,MAX(-CX141,MIN(0,ROUND($R141*EFBPercent+EFBAdd,2)-$Q141),MIN(0,SUM($CS141:CW141)+MIN(0,ROUND($R141*EFBPercent+EFBAdd,2)-$Q141))))</f>
        <v>0</v>
      </c>
      <c r="DG141" s="192">
        <f>MAX(-CY141,MIN(0,ROUND($R141*EFBPercent+EFBAdd,2)-$Q141),MIN(0,SUM($CS141:CX141)+MIN(0,ROUND($R141*EFBPercent+EFBAdd,2)-$Q141)))</f>
        <v>0</v>
      </c>
      <c r="DI141" s="73">
        <f t="shared" si="109"/>
        <v>2351884.0200000005</v>
      </c>
      <c r="DJ141" s="73">
        <f t="shared" si="110"/>
        <v>185430.02</v>
      </c>
      <c r="DK141" s="73">
        <f t="shared" si="111"/>
        <v>0</v>
      </c>
      <c r="DL141" s="73">
        <f t="shared" si="112"/>
        <v>0</v>
      </c>
      <c r="DM141" s="73">
        <f t="shared" si="113"/>
        <v>0</v>
      </c>
      <c r="DN141" s="73">
        <f t="shared" si="114"/>
        <v>0</v>
      </c>
      <c r="DO141" s="73">
        <f t="shared" si="115"/>
        <v>0</v>
      </c>
      <c r="DP141" s="73"/>
      <c r="DQ141" s="73"/>
    </row>
    <row r="142" spans="1:121" ht="10.199999999999999" x14ac:dyDescent="0.2">
      <c r="A142" s="4" t="s">
        <v>608</v>
      </c>
      <c r="B142" s="188">
        <v>1051</v>
      </c>
      <c r="C142" s="189" t="s">
        <v>132</v>
      </c>
      <c r="D142" s="4">
        <v>2027</v>
      </c>
      <c r="E142" s="4" t="s">
        <v>445</v>
      </c>
      <c r="F142" s="4">
        <v>1</v>
      </c>
      <c r="G142" s="4" t="s">
        <v>684</v>
      </c>
      <c r="H142" s="4">
        <v>100</v>
      </c>
      <c r="I142" s="4" t="s">
        <v>1091</v>
      </c>
      <c r="J142" s="5">
        <v>3283498.3899999997</v>
      </c>
      <c r="K142" s="5">
        <v>340.4</v>
      </c>
      <c r="L142" s="5">
        <v>347.85</v>
      </c>
      <c r="M142" s="5">
        <v>0</v>
      </c>
      <c r="N142" s="5">
        <v>12100915</v>
      </c>
      <c r="O142" s="5">
        <v>13.73</v>
      </c>
      <c r="P142" s="5">
        <v>96.12</v>
      </c>
      <c r="Q142" s="5">
        <v>0</v>
      </c>
      <c r="R142" s="5">
        <v>0</v>
      </c>
      <c r="S142" s="5">
        <v>12258.8</v>
      </c>
      <c r="T142" s="5">
        <v>143005.66999999998</v>
      </c>
      <c r="U142" s="5">
        <v>0</v>
      </c>
      <c r="V142" s="5">
        <v>31237.65</v>
      </c>
      <c r="W142" s="5">
        <v>4189.24</v>
      </c>
      <c r="X142" s="5">
        <v>70258.69</v>
      </c>
      <c r="Y142" s="5">
        <v>0.72</v>
      </c>
      <c r="Z142" s="5">
        <v>14</v>
      </c>
      <c r="AA142" s="5">
        <v>114</v>
      </c>
      <c r="AB142" s="5">
        <v>45</v>
      </c>
      <c r="AC142" s="5">
        <v>66</v>
      </c>
      <c r="AD142" s="5">
        <v>0</v>
      </c>
      <c r="AE142" s="5">
        <v>0</v>
      </c>
      <c r="AF142" s="5">
        <v>0</v>
      </c>
      <c r="AG142" s="5">
        <v>1</v>
      </c>
      <c r="AH142" s="5">
        <v>0.38300000000000001</v>
      </c>
      <c r="AI142" s="5">
        <v>0</v>
      </c>
      <c r="AJ142" s="5">
        <v>0</v>
      </c>
      <c r="AK142" s="5">
        <v>0</v>
      </c>
      <c r="AL142" s="5">
        <v>236.79000000000002</v>
      </c>
      <c r="AM142" s="5">
        <v>1.3799999999999955</v>
      </c>
      <c r="AN142" s="5">
        <v>239</v>
      </c>
      <c r="AO142" s="5">
        <f t="shared" si="141"/>
        <v>0</v>
      </c>
      <c r="AP142" s="5">
        <f t="shared" si="146"/>
        <v>0</v>
      </c>
      <c r="AQ142" s="5">
        <v>0.76</v>
      </c>
      <c r="AR142" s="5">
        <v>0</v>
      </c>
      <c r="AS142" s="5">
        <v>0</v>
      </c>
      <c r="AT142" s="5">
        <v>122850</v>
      </c>
      <c r="AU142" s="5">
        <v>0</v>
      </c>
      <c r="AV142" s="5">
        <v>2800</v>
      </c>
      <c r="AW142" s="5">
        <v>347.85</v>
      </c>
      <c r="AX142" s="5">
        <v>1</v>
      </c>
      <c r="AY142" s="199">
        <v>0</v>
      </c>
      <c r="AZ142" s="199">
        <v>0</v>
      </c>
      <c r="BA142" s="5">
        <v>535929.04</v>
      </c>
      <c r="BB142" s="13">
        <v>708478.86</v>
      </c>
      <c r="BC142" s="190">
        <f>MAX(ROUND(IF(F142&lt;4,IF(H142=0,(SUM(Y142:AD142)*Worksheet!$E$26+Y142*Worksheet!$E$27+AR142*Worksheet!$E$39)*-BaseRate,0)),2),MIN(0,-DI142))</f>
        <v>0</v>
      </c>
      <c r="BD142" s="190">
        <f>MAX(ROUND(IF(F142=4,0,IF(I142=0,0,ROUND(SUM(Y142:AD142)*Worksheet!$E$28,2)*-BaseRate)),2),MIN(0,-DI142-BC142))</f>
        <v>-5583.84</v>
      </c>
      <c r="BE142" s="130">
        <f t="shared" si="134"/>
        <v>0</v>
      </c>
      <c r="BF142" s="130">
        <f t="shared" si="135"/>
        <v>1403</v>
      </c>
      <c r="BG142" s="73"/>
      <c r="BH142" s="191">
        <f t="shared" si="136"/>
        <v>37535.019999999997</v>
      </c>
      <c r="BI142" s="191">
        <f t="shared" si="137"/>
        <v>9646</v>
      </c>
      <c r="BJ142" s="232">
        <f>IFERROR(ROUND(IF(AND(BB142*1.12&lt;N142*60/1000,N142/CL142&lt;STVPP*0.2),(CL142*STVPP*0.2*Worksheet!$F$88/1000-BB142*1.12)*PropTaxAdj,IF(BB142*1.12&lt;N142*60/1000,(N142*60/1000-BB142*1.12)*PropTaxAdj,0)),2),0)</f>
        <v>0</v>
      </c>
      <c r="BK142" s="192">
        <f>ROUND(IF($F142=4,0,Y142*Worksheet!$E$16),2)</f>
        <v>0.72</v>
      </c>
      <c r="BL142" s="192">
        <f>ROUND(IF($F142=4,0,Z142*Worksheet!$E$17),2)</f>
        <v>14</v>
      </c>
      <c r="BM142" s="192">
        <f>ROUND(IF($F142=4,0,AA142*Worksheet!$E$18),2)</f>
        <v>114</v>
      </c>
      <c r="BN142" s="192">
        <f>ROUND(IF($F142=4,0,AB142*Worksheet!$E$19),2)</f>
        <v>45</v>
      </c>
      <c r="BO142" s="192">
        <f>ROUND(IF($F142=4,0,AC142*Worksheet!$E$20),2)</f>
        <v>66</v>
      </c>
      <c r="BP142" s="192">
        <f>ROUND(AD142*Worksheet!$E$21,2)</f>
        <v>0</v>
      </c>
      <c r="BQ142" s="192">
        <f t="shared" si="105"/>
        <v>239.72</v>
      </c>
      <c r="BR142" s="192">
        <f>ROUND(AD142*Worksheet!$E$25,2)</f>
        <v>0</v>
      </c>
      <c r="BS142" s="192">
        <f>ROUND(SUM(BQ142)*Worksheet!$E$26,2)</f>
        <v>21.1</v>
      </c>
      <c r="BT142" s="192">
        <f>ROUND(Y142*Worksheet!$E$27,2)</f>
        <v>0.12</v>
      </c>
      <c r="BU142" s="192">
        <f>ROUND(AO142*Worksheet!$E$29,2)</f>
        <v>0</v>
      </c>
      <c r="BV142" s="192">
        <f>ROUND(AP142*Worksheet!$E$30,2)</f>
        <v>0</v>
      </c>
      <c r="BW142" s="192">
        <f>ROUND(IF($I142&lt;&gt;0,$BQ142*Worksheet!$E$28,0),2)</f>
        <v>0.48</v>
      </c>
      <c r="BX142" s="192">
        <f>ROUND(AE142*Worksheet!$E$31,2)</f>
        <v>0</v>
      </c>
      <c r="BY142" s="192">
        <f>ROUND(AF142*Worksheet!$E$32,2)</f>
        <v>0</v>
      </c>
      <c r="BZ142" s="192">
        <f>ROUND(AG142*Worksheet!$E$33,2)</f>
        <v>7.0000000000000007E-2</v>
      </c>
      <c r="CA142" s="192">
        <f>ROUND(ROUND(AH142*BQ142,2)*Worksheet!$E$34,2)</f>
        <v>2.2999999999999998</v>
      </c>
      <c r="CB142" s="192">
        <f>ROUND(AI142*Worksheet!$E$35,2)</f>
        <v>0</v>
      </c>
      <c r="CC142" s="192">
        <f>ROUND(AJ142*Worksheet!$E$36,2)</f>
        <v>0</v>
      </c>
      <c r="CD142" s="192">
        <f>ROUND(AQ142*Worksheet!$E$38,2)</f>
        <v>0.46</v>
      </c>
      <c r="CE142" s="192">
        <f>ROUND(AR142*Worksheet!$E$39,2)</f>
        <v>0</v>
      </c>
      <c r="CF142" s="192">
        <f>IF(AND(L142&gt;275,SUM(Y142:AD142)&lt;100),ROUND(SUM(Y142:AD142)*Worksheet!$E$41,2),0)</f>
        <v>0</v>
      </c>
      <c r="CG142" s="192">
        <f>IF(AND(L142&gt;600,SUM(Y142:AD142)&lt;50),ROUND((50-SUM(Y142:AD142))*(Worksheet!$E$41+1),2),0)</f>
        <v>0</v>
      </c>
      <c r="CH142" s="192">
        <f t="shared" si="106"/>
        <v>264.25</v>
      </c>
      <c r="CI142" s="116">
        <f t="shared" si="142"/>
        <v>0</v>
      </c>
      <c r="CJ142" s="116">
        <f t="shared" si="143"/>
        <v>264.25</v>
      </c>
      <c r="CK142" s="95">
        <f t="shared" si="138"/>
        <v>1.22</v>
      </c>
      <c r="CL142" s="116">
        <f t="shared" si="144"/>
        <v>322.39</v>
      </c>
      <c r="CM142" s="116">
        <f t="shared" si="145"/>
        <v>322.39</v>
      </c>
      <c r="CN142" s="116">
        <f t="shared" si="139"/>
        <v>3750362.87</v>
      </c>
      <c r="CO142" s="131">
        <f>ROUND(IF(F142=4,0,(MAX(ROUND(MAX((BI142*MIN(CL142,K142)*Worksheet!$D$126)+MAX(CL142-K142,0)*Worksheet!$F$50,SUM(J142)),2),SUM(CN142))-SUM(CN142))*MinAdj),2)</f>
        <v>0</v>
      </c>
      <c r="CP142" s="192">
        <f t="shared" si="140"/>
        <v>3750362.87</v>
      </c>
      <c r="CQ142" s="131">
        <f>IF(CL142=0,0,-MIN(CP142,MIN(CP142,ROUND(IF(ROUND(IF(CL142=0,0,N142/CL142),2)&lt;STVPP*0.2,STVPP*0.2*CL142*Worksheet!$F$88/1000,N142*Worksheet!$F$88/1000),2))))</f>
        <v>-726054.9</v>
      </c>
      <c r="CR142" s="193">
        <f>-MIN(SUM(CP142,CQ142),IF($P142=0,(ROUND(Worksheet!$E$77*S142,2)+ROUND(Worksheet!$E$78*T142,2)+ROUND(Worksheet!$E$79*U142,2)+ROUND(Worksheet!$E$80*V142,2)+ROUND(Worksheet!$E$81*W142,2)+ROUND(Worksheet!$E$82*X142,2)),(ROUND(ROUND(S142*ROUND((1-$O142/$P142),4),2)*Worksheet!$E$77,2)+ROUND(ROUND(T142*ROUND((1-$O142/$P142),4),2)*Worksheet!$E$78,2)+ROUND(ROUND(U142*ROUND((1-$O142/$P142),4),2)*Worksheet!$E$79,2)+ROUND(ROUND(V142*ROUND((1-$O142/$P142),4),2)*Worksheet!$E$80,2)+ROUND(ROUND(W142*ROUND((1-$O142/$P142),4),2)*Worksheet!$E$81,2)+ROUND(ROUND(X142*ROUND((1-$O142/$P142),4),2)*Worksheet!$E$82,2))))</f>
        <v>-167764.78999999998</v>
      </c>
      <c r="CS142" s="192">
        <f t="shared" si="107"/>
        <v>2856543.18</v>
      </c>
      <c r="CT142" s="116">
        <f>ROUND(MIN(BA142,ROUND((ROUND(AS142*Worksheet!$E$104,2)+ROUND(AV142*Worksheet!$E$107,2)+ROUND(AT142*Worksheet!$E$105,2)+ROUND(AW142*Worksheet!$E$108,2)+ROUND(AU142*Worksheet!$E$106,2)+ROUND(AX142*Worksheet!$E$109,2)+ROUND(AY142*Worksheet!$E$110,2)+ROUND(AZ142*Worksheet!$E$111,2))*Worksheet!$D$114,2))*BaseRate,2)</f>
        <v>179264.53</v>
      </c>
      <c r="CU142" s="121">
        <v>0</v>
      </c>
      <c r="CV142" s="121">
        <v>0</v>
      </c>
      <c r="CW142" s="121">
        <v>0</v>
      </c>
      <c r="CX142" s="121">
        <v>0</v>
      </c>
      <c r="CY142" s="121">
        <v>0</v>
      </c>
      <c r="DA142" s="192">
        <f t="shared" si="108"/>
        <v>0</v>
      </c>
      <c r="DB142" s="192">
        <f>MAX(-CT142,MIN(0,ROUND($R142*EFBPercent+EFBAdd,2)-$Q142),MIN(0,SUM($CS142:CS142)+MIN(0,ROUND($R142*EFBPercent+EFBAdd,2)-$Q142)))</f>
        <v>0</v>
      </c>
      <c r="DC142" s="192">
        <f>IF(CU142&lt;0,0,MAX(-CU142,MIN(0,ROUND($R142*EFBPercent+EFBAdd,2)-$Q142),MIN(0,SUM($CS142:CT142)+MIN(0,ROUND($R142*EFBPercent+EFBAdd,2)-$Q142))))</f>
        <v>0</v>
      </c>
      <c r="DD142" s="192">
        <f>IF(CV142&lt;0,0,MAX(-CV142,MIN(0,ROUND($R142*EFBPercent+EFBAdd,2)-$Q142),MIN(0,SUM($CS142:CU142)+MIN(0,ROUND($R142*EFBPercent+EFBAdd,2)-$Q142))))</f>
        <v>0</v>
      </c>
      <c r="DE142" s="192">
        <f>IF(CW142&lt;0,0,MAX(-CW142,MIN(0,ROUND($R142*EFBPercent+EFBAdd,2)-$Q142),MIN(0,SUM($CS142:CV142)+MIN(0,ROUND($R142*EFBPercent+EFBAdd,2)-$Q142))))</f>
        <v>0</v>
      </c>
      <c r="DF142" s="192">
        <f>IF(CX142&lt;0,0,MAX(-CX142,MIN(0,ROUND($R142*EFBPercent+EFBAdd,2)-$Q142),MIN(0,SUM($CS142:CW142)+MIN(0,ROUND($R142*EFBPercent+EFBAdd,2)-$Q142))))</f>
        <v>0</v>
      </c>
      <c r="DG142" s="192">
        <f>MAX(-CY142,MIN(0,ROUND($R142*EFBPercent+EFBAdd,2)-$Q142),MIN(0,SUM($CS142:CX142)+MIN(0,ROUND($R142*EFBPercent+EFBAdd,2)-$Q142)))</f>
        <v>0</v>
      </c>
      <c r="DI142" s="73">
        <f t="shared" si="109"/>
        <v>2856543.18</v>
      </c>
      <c r="DJ142" s="73">
        <f t="shared" si="110"/>
        <v>179264.53</v>
      </c>
      <c r="DK142" s="73">
        <f t="shared" si="111"/>
        <v>0</v>
      </c>
      <c r="DL142" s="73">
        <f t="shared" si="112"/>
        <v>0</v>
      </c>
      <c r="DM142" s="73">
        <f t="shared" si="113"/>
        <v>0</v>
      </c>
      <c r="DN142" s="73">
        <f t="shared" si="114"/>
        <v>0</v>
      </c>
      <c r="DO142" s="73">
        <f t="shared" si="115"/>
        <v>0</v>
      </c>
      <c r="DP142" s="73"/>
      <c r="DQ142" s="73"/>
    </row>
    <row r="143" spans="1:121" ht="10.199999999999999" x14ac:dyDescent="0.2">
      <c r="A143" s="4" t="s">
        <v>609</v>
      </c>
      <c r="B143" s="188">
        <v>1059</v>
      </c>
      <c r="C143" s="189" t="s">
        <v>133</v>
      </c>
      <c r="D143" s="4">
        <v>2027</v>
      </c>
      <c r="E143" s="4" t="s">
        <v>446</v>
      </c>
      <c r="F143" s="4">
        <v>1</v>
      </c>
      <c r="G143" s="4" t="s">
        <v>676</v>
      </c>
      <c r="H143" s="4">
        <v>100</v>
      </c>
      <c r="I143" s="4" t="s">
        <v>853</v>
      </c>
      <c r="J143" s="5">
        <v>3204015.3600000003</v>
      </c>
      <c r="K143" s="5">
        <v>332.16</v>
      </c>
      <c r="L143" s="5">
        <v>240.42</v>
      </c>
      <c r="M143" s="5">
        <v>0</v>
      </c>
      <c r="N143" s="5">
        <v>17227014</v>
      </c>
      <c r="O143" s="5">
        <v>0</v>
      </c>
      <c r="P143" s="5">
        <v>96</v>
      </c>
      <c r="Q143" s="5">
        <v>0</v>
      </c>
      <c r="R143" s="5">
        <v>0</v>
      </c>
      <c r="S143" s="5">
        <v>0</v>
      </c>
      <c r="T143" s="5">
        <v>0</v>
      </c>
      <c r="U143" s="5">
        <v>0</v>
      </c>
      <c r="V143" s="5">
        <v>23149.919999999998</v>
      </c>
      <c r="W143" s="5">
        <v>4285.09</v>
      </c>
      <c r="X143" s="5">
        <v>17072.560000000001</v>
      </c>
      <c r="Y143" s="5">
        <v>3.95</v>
      </c>
      <c r="Z143" s="5">
        <v>17</v>
      </c>
      <c r="AA143" s="5">
        <v>115</v>
      </c>
      <c r="AB143" s="5">
        <v>40</v>
      </c>
      <c r="AC143" s="5">
        <v>69</v>
      </c>
      <c r="AD143" s="5">
        <v>0</v>
      </c>
      <c r="AE143" s="5">
        <v>0</v>
      </c>
      <c r="AF143" s="5">
        <v>0</v>
      </c>
      <c r="AG143" s="5">
        <v>0</v>
      </c>
      <c r="AH143" s="5">
        <v>0.217</v>
      </c>
      <c r="AI143" s="5">
        <v>0</v>
      </c>
      <c r="AJ143" s="5">
        <v>0</v>
      </c>
      <c r="AK143" s="5">
        <v>0</v>
      </c>
      <c r="AL143" s="5">
        <v>241.13</v>
      </c>
      <c r="AM143" s="5">
        <v>3.5300000000000296</v>
      </c>
      <c r="AN143" s="5">
        <v>241</v>
      </c>
      <c r="AO143" s="5">
        <f t="shared" si="141"/>
        <v>0.12999999999999545</v>
      </c>
      <c r="AP143" s="5">
        <f t="shared" si="146"/>
        <v>0</v>
      </c>
      <c r="AQ143" s="5">
        <v>6.38</v>
      </c>
      <c r="AR143" s="5">
        <v>7.0000000000000007E-2</v>
      </c>
      <c r="AS143" s="5">
        <v>0</v>
      </c>
      <c r="AT143" s="5">
        <v>50646</v>
      </c>
      <c r="AU143" s="5">
        <v>0</v>
      </c>
      <c r="AV143" s="5">
        <v>862</v>
      </c>
      <c r="AW143" s="5">
        <v>240.42</v>
      </c>
      <c r="AX143" s="5">
        <v>1</v>
      </c>
      <c r="AY143" s="199">
        <v>0</v>
      </c>
      <c r="AZ143" s="199">
        <v>0</v>
      </c>
      <c r="BA143" s="5">
        <v>156077.96</v>
      </c>
      <c r="BB143" s="13">
        <v>1016704.38</v>
      </c>
      <c r="BC143" s="190">
        <f>MAX(ROUND(IF(F143&lt;4,IF(H143=0,(SUM(Y143:AD143)*Worksheet!$E$26+Y143*Worksheet!$E$27+AR143*Worksheet!$E$39)*-BaseRate,0)),2),MIN(0,-DI143))</f>
        <v>0</v>
      </c>
      <c r="BD143" s="190">
        <f>MAX(ROUND(IF(F143=4,0,IF(I143=0,0,ROUND(SUM(Y143:AD143)*Worksheet!$E$28,2)*-BaseRate)),2),MIN(0,-DI143-BC143))</f>
        <v>-5700.17</v>
      </c>
      <c r="BE143" s="130">
        <f t="shared" si="134"/>
        <v>0</v>
      </c>
      <c r="BF143" s="130">
        <f t="shared" si="135"/>
        <v>1408</v>
      </c>
      <c r="BG143" s="73"/>
      <c r="BH143" s="191">
        <f t="shared" si="136"/>
        <v>51717.24</v>
      </c>
      <c r="BI143" s="191">
        <f t="shared" si="137"/>
        <v>9646</v>
      </c>
      <c r="BJ143" s="232">
        <f>IFERROR(ROUND(IF(AND(BB143*1.12&lt;N143*60/1000,N143/CL143&lt;STVPP*0.2),(CL143*STVPP*0.2*Worksheet!$F$88/1000-BB143*1.12)*PropTaxAdj,IF(BB143*1.12&lt;N143*60/1000,(N143*60/1000-BB143*1.12)*PropTaxAdj,0)),2),0)</f>
        <v>0</v>
      </c>
      <c r="BK143" s="192">
        <f>ROUND(IF($F143=4,0,Y143*Worksheet!$E$16),2)</f>
        <v>3.95</v>
      </c>
      <c r="BL143" s="192">
        <f>ROUND(IF($F143=4,0,Z143*Worksheet!$E$17),2)</f>
        <v>17</v>
      </c>
      <c r="BM143" s="192">
        <f>ROUND(IF($F143=4,0,AA143*Worksheet!$E$18),2)</f>
        <v>115</v>
      </c>
      <c r="BN143" s="192">
        <f>ROUND(IF($F143=4,0,AB143*Worksheet!$E$19),2)</f>
        <v>40</v>
      </c>
      <c r="BO143" s="192">
        <f>ROUND(IF($F143=4,0,AC143*Worksheet!$E$20),2)</f>
        <v>69</v>
      </c>
      <c r="BP143" s="192">
        <f>ROUND(AD143*Worksheet!$E$21,2)</f>
        <v>0</v>
      </c>
      <c r="BQ143" s="192">
        <f t="shared" si="105"/>
        <v>244.95</v>
      </c>
      <c r="BR143" s="192">
        <f>ROUND(AD143*Worksheet!$E$25,2)</f>
        <v>0</v>
      </c>
      <c r="BS143" s="192">
        <f>ROUND(SUM(BQ143)*Worksheet!$E$26,2)</f>
        <v>21.56</v>
      </c>
      <c r="BT143" s="192">
        <f>ROUND(Y143*Worksheet!$E$27,2)</f>
        <v>0.67</v>
      </c>
      <c r="BU143" s="192">
        <f>ROUND(AO143*Worksheet!$E$29,2)</f>
        <v>0.13</v>
      </c>
      <c r="BV143" s="192">
        <f>ROUND(AP143*Worksheet!$E$30,2)</f>
        <v>0</v>
      </c>
      <c r="BW143" s="192">
        <f>ROUND(IF($I143&lt;&gt;0,$BQ143*Worksheet!$E$28,0),2)</f>
        <v>0.49</v>
      </c>
      <c r="BX143" s="192">
        <f>ROUND(AE143*Worksheet!$E$31,2)</f>
        <v>0</v>
      </c>
      <c r="BY143" s="192">
        <f>ROUND(AF143*Worksheet!$E$32,2)</f>
        <v>0</v>
      </c>
      <c r="BZ143" s="192">
        <f>ROUND(AG143*Worksheet!$E$33,2)</f>
        <v>0</v>
      </c>
      <c r="CA143" s="192">
        <f>ROUND(ROUND(AH143*BQ143,2)*Worksheet!$E$34,2)</f>
        <v>1.33</v>
      </c>
      <c r="CB143" s="192">
        <f>ROUND(AI143*Worksheet!$E$35,2)</f>
        <v>0</v>
      </c>
      <c r="CC143" s="192">
        <f>ROUND(AJ143*Worksheet!$E$36,2)</f>
        <v>0</v>
      </c>
      <c r="CD143" s="192">
        <f>ROUND(AQ143*Worksheet!$E$38,2)</f>
        <v>3.83</v>
      </c>
      <c r="CE143" s="192">
        <f>ROUND(AR143*Worksheet!$E$39,2)</f>
        <v>7.0000000000000007E-2</v>
      </c>
      <c r="CF143" s="192">
        <f>IF(AND(L143&gt;275,SUM(Y143:AD143)&lt;100),ROUND(SUM(Y143:AD143)*Worksheet!$E$41,2),0)</f>
        <v>0</v>
      </c>
      <c r="CG143" s="192">
        <f>IF(AND(L143&gt;600,SUM(Y143:AD143)&lt;50),ROUND((50-SUM(Y143:AD143))*(Worksheet!$E$41+1),2),0)</f>
        <v>0</v>
      </c>
      <c r="CH143" s="192">
        <f t="shared" si="106"/>
        <v>273.02999999999997</v>
      </c>
      <c r="CI143" s="116">
        <f t="shared" si="142"/>
        <v>0</v>
      </c>
      <c r="CJ143" s="116">
        <f t="shared" si="143"/>
        <v>273.02999999999997</v>
      </c>
      <c r="CK143" s="95">
        <f t="shared" si="138"/>
        <v>1.22</v>
      </c>
      <c r="CL143" s="116">
        <f t="shared" si="144"/>
        <v>333.1</v>
      </c>
      <c r="CM143" s="116">
        <f t="shared" si="145"/>
        <v>333.1</v>
      </c>
      <c r="CN143" s="116">
        <f t="shared" si="139"/>
        <v>3874952.3</v>
      </c>
      <c r="CO143" s="131">
        <f>ROUND(IF(F143=4,0,(MAX(ROUND(MAX((BI143*MIN(CL143,K143)*Worksheet!$D$126)+MAX(CL143-K143,0)*Worksheet!$F$50,SUM(J143)),2),SUM(CN143))-SUM(CN143))*MinAdj),2)</f>
        <v>0</v>
      </c>
      <c r="CP143" s="192">
        <f t="shared" si="140"/>
        <v>3874952.3</v>
      </c>
      <c r="CQ143" s="131">
        <f>IF(CL143=0,0,-MIN(CP143,MIN(CP143,ROUND(IF(ROUND(IF(CL143=0,0,N143/CL143),2)&lt;STVPP*0.2,STVPP*0.2*CL143*Worksheet!$F$88/1000,N143*Worksheet!$F$88/1000),2))))</f>
        <v>-1033620.84</v>
      </c>
      <c r="CR143" s="193">
        <f>-MIN(SUM(CP143,CQ143),IF($P143=0,(ROUND(Worksheet!$E$77*S143,2)+ROUND(Worksheet!$E$78*T143,2)+ROUND(Worksheet!$E$79*U143,2)+ROUND(Worksheet!$E$80*V143,2)+ROUND(Worksheet!$E$81*W143,2)+ROUND(Worksheet!$E$82*X143,2)),(ROUND(ROUND(S143*ROUND((1-$O143/$P143),4),2)*Worksheet!$E$77,2)+ROUND(ROUND(T143*ROUND((1-$O143/$P143),4),2)*Worksheet!$E$78,2)+ROUND(ROUND(U143*ROUND((1-$O143/$P143),4),2)*Worksheet!$E$79,2)+ROUND(ROUND(V143*ROUND((1-$O143/$P143),4),2)*Worksheet!$E$80,2)+ROUND(ROUND(W143*ROUND((1-$O143/$P143),4),2)*Worksheet!$E$81,2)+ROUND(ROUND(X143*ROUND((1-$O143/$P143),4),2)*Worksheet!$E$82,2))))</f>
        <v>-33380.68</v>
      </c>
      <c r="CS143" s="192">
        <f t="shared" si="107"/>
        <v>2807950.78</v>
      </c>
      <c r="CT143" s="116">
        <f>ROUND(MIN(BA143,ROUND((ROUND(AS143*Worksheet!$E$104,2)+ROUND(AV143*Worksheet!$E$107,2)+ROUND(AT143*Worksheet!$E$105,2)+ROUND(AW143*Worksheet!$E$108,2)+ROUND(AU143*Worksheet!$E$106,2)+ROUND(AX143*Worksheet!$E$109,2)+ROUND(AY143*Worksheet!$E$110,2)+ROUND(AZ143*Worksheet!$E$111,2))*Worksheet!$D$114,2))*BaseRate,2)</f>
        <v>73287.899999999994</v>
      </c>
      <c r="CU143" s="121">
        <v>0</v>
      </c>
      <c r="CV143" s="121">
        <v>0</v>
      </c>
      <c r="CW143" s="121">
        <v>0</v>
      </c>
      <c r="CX143" s="121">
        <v>0</v>
      </c>
      <c r="CY143" s="121">
        <v>0</v>
      </c>
      <c r="DA143" s="192">
        <f t="shared" si="108"/>
        <v>0</v>
      </c>
      <c r="DB143" s="192">
        <f>MAX(-CT143,MIN(0,ROUND($R143*EFBPercent+EFBAdd,2)-$Q143),MIN(0,SUM($CS143:CS143)+MIN(0,ROUND($R143*EFBPercent+EFBAdd,2)-$Q143)))</f>
        <v>0</v>
      </c>
      <c r="DC143" s="192">
        <f>IF(CU143&lt;0,0,MAX(-CU143,MIN(0,ROUND($R143*EFBPercent+EFBAdd,2)-$Q143),MIN(0,SUM($CS143:CT143)+MIN(0,ROUND($R143*EFBPercent+EFBAdd,2)-$Q143))))</f>
        <v>0</v>
      </c>
      <c r="DD143" s="192">
        <f>IF(CV143&lt;0,0,MAX(-CV143,MIN(0,ROUND($R143*EFBPercent+EFBAdd,2)-$Q143),MIN(0,SUM($CS143:CU143)+MIN(0,ROUND($R143*EFBPercent+EFBAdd,2)-$Q143))))</f>
        <v>0</v>
      </c>
      <c r="DE143" s="192">
        <f>IF(CW143&lt;0,0,MAX(-CW143,MIN(0,ROUND($R143*EFBPercent+EFBAdd,2)-$Q143),MIN(0,SUM($CS143:CV143)+MIN(0,ROUND($R143*EFBPercent+EFBAdd,2)-$Q143))))</f>
        <v>0</v>
      </c>
      <c r="DF143" s="192">
        <f>IF(CX143&lt;0,0,MAX(-CX143,MIN(0,ROUND($R143*EFBPercent+EFBAdd,2)-$Q143),MIN(0,SUM($CS143:CW143)+MIN(0,ROUND($R143*EFBPercent+EFBAdd,2)-$Q143))))</f>
        <v>0</v>
      </c>
      <c r="DG143" s="192">
        <f>MAX(-CY143,MIN(0,ROUND($R143*EFBPercent+EFBAdd,2)-$Q143),MIN(0,SUM($CS143:CX143)+MIN(0,ROUND($R143*EFBPercent+EFBAdd,2)-$Q143)))</f>
        <v>0</v>
      </c>
      <c r="DI143" s="73">
        <f t="shared" si="109"/>
        <v>2807950.78</v>
      </c>
      <c r="DJ143" s="73">
        <f t="shared" si="110"/>
        <v>73287.899999999994</v>
      </c>
      <c r="DK143" s="73">
        <f t="shared" si="111"/>
        <v>0</v>
      </c>
      <c r="DL143" s="73">
        <f t="shared" si="112"/>
        <v>0</v>
      </c>
      <c r="DM143" s="73">
        <f t="shared" si="113"/>
        <v>0</v>
      </c>
      <c r="DN143" s="73">
        <f t="shared" si="114"/>
        <v>0</v>
      </c>
      <c r="DO143" s="73">
        <f t="shared" si="115"/>
        <v>0</v>
      </c>
      <c r="DP143" s="73"/>
      <c r="DQ143" s="73"/>
    </row>
    <row r="144" spans="1:121" ht="10.199999999999999" x14ac:dyDescent="0.2">
      <c r="A144" s="4" t="s">
        <v>610</v>
      </c>
      <c r="B144" s="188">
        <v>1038</v>
      </c>
      <c r="C144" s="189" t="s">
        <v>134</v>
      </c>
      <c r="D144" s="4">
        <v>2027</v>
      </c>
      <c r="E144" s="4" t="s">
        <v>447</v>
      </c>
      <c r="F144" s="4">
        <v>1</v>
      </c>
      <c r="G144" s="4" t="s">
        <v>676</v>
      </c>
      <c r="H144" s="4">
        <v>100</v>
      </c>
      <c r="I144" s="4" t="s">
        <v>853</v>
      </c>
      <c r="J144" s="5">
        <v>1594712.0399999998</v>
      </c>
      <c r="K144" s="5">
        <v>150.63</v>
      </c>
      <c r="L144" s="5">
        <v>92</v>
      </c>
      <c r="M144" s="5">
        <v>0</v>
      </c>
      <c r="N144" s="5">
        <v>7084590</v>
      </c>
      <c r="O144" s="5">
        <v>0</v>
      </c>
      <c r="P144" s="5">
        <v>99</v>
      </c>
      <c r="Q144" s="5">
        <v>0</v>
      </c>
      <c r="R144" s="5">
        <v>0</v>
      </c>
      <c r="S144" s="5">
        <v>239.94</v>
      </c>
      <c r="T144" s="5">
        <v>0</v>
      </c>
      <c r="U144" s="5">
        <v>0</v>
      </c>
      <c r="V144" s="5">
        <v>4354.22</v>
      </c>
      <c r="W144" s="5">
        <v>7129.96</v>
      </c>
      <c r="X144" s="5">
        <v>9511.49</v>
      </c>
      <c r="Y144" s="5">
        <v>1.57</v>
      </c>
      <c r="Z144" s="5">
        <v>5</v>
      </c>
      <c r="AA144" s="5">
        <v>45</v>
      </c>
      <c r="AB144" s="5">
        <v>16</v>
      </c>
      <c r="AC144" s="5">
        <v>29</v>
      </c>
      <c r="AD144" s="5">
        <v>0</v>
      </c>
      <c r="AE144" s="5">
        <v>1</v>
      </c>
      <c r="AF144" s="5">
        <v>0</v>
      </c>
      <c r="AG144" s="5">
        <v>4</v>
      </c>
      <c r="AH144" s="5">
        <v>0.68300000000000005</v>
      </c>
      <c r="AI144" s="5">
        <v>0</v>
      </c>
      <c r="AJ144" s="5">
        <v>0</v>
      </c>
      <c r="AK144" s="5">
        <v>0</v>
      </c>
      <c r="AL144" s="5">
        <v>94.99</v>
      </c>
      <c r="AM144" s="5">
        <v>2.5100000000000051</v>
      </c>
      <c r="AN144" s="5">
        <v>95</v>
      </c>
      <c r="AO144" s="5">
        <f t="shared" si="141"/>
        <v>0</v>
      </c>
      <c r="AP144" s="5">
        <f t="shared" si="146"/>
        <v>0</v>
      </c>
      <c r="AQ144" s="5">
        <v>0</v>
      </c>
      <c r="AR144" s="5">
        <v>0.1</v>
      </c>
      <c r="AS144" s="5">
        <v>0</v>
      </c>
      <c r="AT144" s="5">
        <v>35790</v>
      </c>
      <c r="AU144" s="5">
        <v>0</v>
      </c>
      <c r="AV144" s="5">
        <v>1046</v>
      </c>
      <c r="AW144" s="5">
        <v>92</v>
      </c>
      <c r="AX144" s="5">
        <v>1</v>
      </c>
      <c r="AY144" s="199">
        <v>0</v>
      </c>
      <c r="AZ144" s="199">
        <v>0</v>
      </c>
      <c r="BA144" s="5">
        <v>55107.89</v>
      </c>
      <c r="BB144" s="13">
        <v>413709.48</v>
      </c>
      <c r="BC144" s="190">
        <f>MAX(ROUND(IF(F144&lt;4,IF(H144=0,(SUM(Y144:AD144)*Worksheet!$E$26+Y144*Worksheet!$E$27+AR144*Worksheet!$E$39)*-BaseRate,0)),2),MIN(0,-DI144))</f>
        <v>0</v>
      </c>
      <c r="BD144" s="190">
        <f>MAX(ROUND(IF(F144=4,0,IF(I144=0,0,ROUND(SUM(Y144:AD144)*Worksheet!$E$28,2)*-BaseRate)),2),MIN(0,-DI144-BC144))</f>
        <v>-2210.27</v>
      </c>
      <c r="BE144" s="130">
        <f t="shared" si="134"/>
        <v>0</v>
      </c>
      <c r="BF144" s="130">
        <f t="shared" si="135"/>
        <v>1408</v>
      </c>
      <c r="BG144" s="73"/>
      <c r="BH144" s="191">
        <f t="shared" si="136"/>
        <v>39295.519999999997</v>
      </c>
      <c r="BI144" s="191">
        <f t="shared" si="137"/>
        <v>10586.95</v>
      </c>
      <c r="BJ144" s="232">
        <f>IFERROR(ROUND(IF(AND(BB144*1.12&lt;N144*60/1000,N144/CL144&lt;STVPP*0.2),(CL144*STVPP*0.2*Worksheet!$F$88/1000-BB144*1.12)*PropTaxAdj,IF(BB144*1.12&lt;N144*60/1000,(N144*60/1000-BB144*1.12)*PropTaxAdj,0)),2),0)</f>
        <v>0</v>
      </c>
      <c r="BK144" s="192">
        <f>ROUND(IF($F144=4,0,Y144*Worksheet!$E$16),2)</f>
        <v>1.57</v>
      </c>
      <c r="BL144" s="192">
        <f>ROUND(IF($F144=4,0,Z144*Worksheet!$E$17),2)</f>
        <v>5</v>
      </c>
      <c r="BM144" s="192">
        <f>ROUND(IF($F144=4,0,AA144*Worksheet!$E$18),2)</f>
        <v>45</v>
      </c>
      <c r="BN144" s="192">
        <f>ROUND(IF($F144=4,0,AB144*Worksheet!$E$19),2)</f>
        <v>16</v>
      </c>
      <c r="BO144" s="192">
        <f>ROUND(IF($F144=4,0,AC144*Worksheet!$E$20),2)</f>
        <v>29</v>
      </c>
      <c r="BP144" s="192">
        <f>ROUND(AD144*Worksheet!$E$21,2)</f>
        <v>0</v>
      </c>
      <c r="BQ144" s="192">
        <f t="shared" si="105"/>
        <v>96.57</v>
      </c>
      <c r="BR144" s="192">
        <f>ROUND(AD144*Worksheet!$E$25,2)</f>
        <v>0</v>
      </c>
      <c r="BS144" s="192">
        <f>ROUND(SUM(BQ144)*Worksheet!$E$26,2)</f>
        <v>8.5</v>
      </c>
      <c r="BT144" s="192">
        <f>ROUND(Y144*Worksheet!$E$27,2)</f>
        <v>0.27</v>
      </c>
      <c r="BU144" s="192">
        <f>ROUND(AO144*Worksheet!$E$29,2)</f>
        <v>0</v>
      </c>
      <c r="BV144" s="192">
        <f>ROUND(AP144*Worksheet!$E$30,2)</f>
        <v>0</v>
      </c>
      <c r="BW144" s="192">
        <f>ROUND(IF($I144&lt;&gt;0,$BQ144*Worksheet!$E$28,0),2)</f>
        <v>0.19</v>
      </c>
      <c r="BX144" s="192">
        <f>ROUND(AE144*Worksheet!$E$31,2)</f>
        <v>0.4</v>
      </c>
      <c r="BY144" s="192">
        <f>ROUND(AF144*Worksheet!$E$32,2)</f>
        <v>0</v>
      </c>
      <c r="BZ144" s="192">
        <f>ROUND(AG144*Worksheet!$E$33,2)</f>
        <v>0.28000000000000003</v>
      </c>
      <c r="CA144" s="192">
        <f>ROUND(ROUND(AH144*BQ144,2)*Worksheet!$E$34,2)</f>
        <v>1.65</v>
      </c>
      <c r="CB144" s="192">
        <f>ROUND(AI144*Worksheet!$E$35,2)</f>
        <v>0</v>
      </c>
      <c r="CC144" s="192">
        <f>ROUND(AJ144*Worksheet!$E$36,2)</f>
        <v>0</v>
      </c>
      <c r="CD144" s="192">
        <f>ROUND(AQ144*Worksheet!$E$38,2)</f>
        <v>0</v>
      </c>
      <c r="CE144" s="192">
        <f>ROUND(AR144*Worksheet!$E$39,2)</f>
        <v>0.1</v>
      </c>
      <c r="CF144" s="192">
        <f>IF(AND(L144&gt;275,SUM(Y144:AD144)&lt;100),ROUND(SUM(Y144:AD144)*Worksheet!$E$41,2),0)</f>
        <v>0</v>
      </c>
      <c r="CG144" s="192">
        <f>IF(AND(L144&gt;600,SUM(Y144:AD144)&lt;50),ROUND((50-SUM(Y144:AD144))*(Worksheet!$E$41+1),2),0)</f>
        <v>0</v>
      </c>
      <c r="CH144" s="192">
        <f t="shared" si="106"/>
        <v>107.96</v>
      </c>
      <c r="CI144" s="116">
        <f t="shared" si="142"/>
        <v>0</v>
      </c>
      <c r="CJ144" s="116">
        <f t="shared" si="143"/>
        <v>107.96</v>
      </c>
      <c r="CK144" s="95">
        <f t="shared" si="138"/>
        <v>1.67</v>
      </c>
      <c r="CL144" s="116">
        <f t="shared" si="144"/>
        <v>180.29</v>
      </c>
      <c r="CM144" s="116">
        <f t="shared" si="145"/>
        <v>180.29</v>
      </c>
      <c r="CN144" s="116">
        <f t="shared" si="139"/>
        <v>2097313.5699999998</v>
      </c>
      <c r="CO144" s="131">
        <f>ROUND(IF(F144=4,0,(MAX(ROUND(MAX((BI144*MIN(CL144,K144)*Worksheet!$D$126)+MAX(CL144-K144,0)*Worksheet!$F$50,SUM(J144)),2),SUM(CN144))-SUM(CN144))*MinAdj),2)</f>
        <v>0</v>
      </c>
      <c r="CP144" s="192">
        <f t="shared" si="140"/>
        <v>2097313.5699999998</v>
      </c>
      <c r="CQ144" s="131">
        <f>IF(CL144=0,0,-MIN(CP144,MIN(CP144,ROUND(IF(ROUND(IF(CL144=0,0,N144/CL144),2)&lt;STVPP*0.2,STVPP*0.2*CL144*Worksheet!$F$88/1000,N144*Worksheet!$F$88/1000),2))))</f>
        <v>-425075.4</v>
      </c>
      <c r="CR144" s="193">
        <f>-MIN(SUM(CP144,CQ144),IF($P144=0,(ROUND(Worksheet!$E$77*S144,2)+ROUND(Worksheet!$E$78*T144,2)+ROUND(Worksheet!$E$79*U144,2)+ROUND(Worksheet!$E$80*V144,2)+ROUND(Worksheet!$E$81*W144,2)+ROUND(Worksheet!$E$82*X144,2)),(ROUND(ROUND(S144*ROUND((1-$O144/$P144),4),2)*Worksheet!$E$77,2)+ROUND(ROUND(T144*ROUND((1-$O144/$P144),4),2)*Worksheet!$E$78,2)+ROUND(ROUND(U144*ROUND((1-$O144/$P144),4),2)*Worksheet!$E$79,2)+ROUND(ROUND(V144*ROUND((1-$O144/$P144),4),2)*Worksheet!$E$80,2)+ROUND(ROUND(W144*ROUND((1-$O144/$P144),4),2)*Worksheet!$E$81,2)+ROUND(ROUND(X144*ROUND((1-$O144/$P144),4),2)*Worksheet!$E$82,2))))</f>
        <v>-15926.720000000001</v>
      </c>
      <c r="CS144" s="192">
        <f t="shared" si="107"/>
        <v>1656311.45</v>
      </c>
      <c r="CT144" s="116">
        <f>ROUND(MIN(BA144,ROUND((ROUND(AS144*Worksheet!$E$104,2)+ROUND(AV144*Worksheet!$E$107,2)+ROUND(AT144*Worksheet!$E$105,2)+ROUND(AW144*Worksheet!$E$108,2)+ROUND(AU144*Worksheet!$E$106,2)+ROUND(AX144*Worksheet!$E$109,2)+ROUND(AY144*Worksheet!$E$110,2)+ROUND(AZ144*Worksheet!$E$111,2))*Worksheet!$D$114,2))*BaseRate,2)</f>
        <v>56071.06</v>
      </c>
      <c r="CU144" s="121">
        <v>0</v>
      </c>
      <c r="CV144" s="121">
        <v>0</v>
      </c>
      <c r="CW144" s="121">
        <v>0</v>
      </c>
      <c r="CX144" s="121">
        <v>0</v>
      </c>
      <c r="CY144" s="121">
        <v>0</v>
      </c>
      <c r="DA144" s="192">
        <f t="shared" si="108"/>
        <v>0</v>
      </c>
      <c r="DB144" s="192">
        <f>MAX(-CT144,MIN(0,ROUND($R144*EFBPercent+EFBAdd,2)-$Q144),MIN(0,SUM($CS144:CS144)+MIN(0,ROUND($R144*EFBPercent+EFBAdd,2)-$Q144)))</f>
        <v>0</v>
      </c>
      <c r="DC144" s="192">
        <f>IF(CU144&lt;0,0,MAX(-CU144,MIN(0,ROUND($R144*EFBPercent+EFBAdd,2)-$Q144),MIN(0,SUM($CS144:CT144)+MIN(0,ROUND($R144*EFBPercent+EFBAdd,2)-$Q144))))</f>
        <v>0</v>
      </c>
      <c r="DD144" s="192">
        <f>IF(CV144&lt;0,0,MAX(-CV144,MIN(0,ROUND($R144*EFBPercent+EFBAdd,2)-$Q144),MIN(0,SUM($CS144:CU144)+MIN(0,ROUND($R144*EFBPercent+EFBAdd,2)-$Q144))))</f>
        <v>0</v>
      </c>
      <c r="DE144" s="192">
        <f>IF(CW144&lt;0,0,MAX(-CW144,MIN(0,ROUND($R144*EFBPercent+EFBAdd,2)-$Q144),MIN(0,SUM($CS144:CV144)+MIN(0,ROUND($R144*EFBPercent+EFBAdd,2)-$Q144))))</f>
        <v>0</v>
      </c>
      <c r="DF144" s="192">
        <f>IF(CX144&lt;0,0,MAX(-CX144,MIN(0,ROUND($R144*EFBPercent+EFBAdd,2)-$Q144),MIN(0,SUM($CS144:CW144)+MIN(0,ROUND($R144*EFBPercent+EFBAdd,2)-$Q144))))</f>
        <v>0</v>
      </c>
      <c r="DG144" s="192">
        <f>MAX(-CY144,MIN(0,ROUND($R144*EFBPercent+EFBAdd,2)-$Q144),MIN(0,SUM($CS144:CX144)+MIN(0,ROUND($R144*EFBPercent+EFBAdd,2)-$Q144)))</f>
        <v>0</v>
      </c>
      <c r="DI144" s="73">
        <f t="shared" si="109"/>
        <v>1656311.45</v>
      </c>
      <c r="DJ144" s="73">
        <f t="shared" si="110"/>
        <v>56071.06</v>
      </c>
      <c r="DK144" s="73">
        <f t="shared" si="111"/>
        <v>0</v>
      </c>
      <c r="DL144" s="73">
        <f t="shared" si="112"/>
        <v>0</v>
      </c>
      <c r="DM144" s="73">
        <f t="shared" si="113"/>
        <v>0</v>
      </c>
      <c r="DN144" s="73">
        <f t="shared" si="114"/>
        <v>0</v>
      </c>
      <c r="DO144" s="73">
        <f t="shared" si="115"/>
        <v>0</v>
      </c>
      <c r="DP144" s="73"/>
      <c r="DQ144" s="73"/>
    </row>
    <row r="145" spans="1:121" ht="10.199999999999999" x14ac:dyDescent="0.2">
      <c r="A145" s="4" t="s">
        <v>611</v>
      </c>
      <c r="B145" s="188">
        <v>1082</v>
      </c>
      <c r="C145" s="189" t="s">
        <v>135</v>
      </c>
      <c r="D145" s="4">
        <v>2027</v>
      </c>
      <c r="E145" s="4" t="s">
        <v>448</v>
      </c>
      <c r="F145" s="4">
        <v>1</v>
      </c>
      <c r="G145" s="4" t="s">
        <v>676</v>
      </c>
      <c r="H145" s="4">
        <v>100</v>
      </c>
      <c r="I145" s="4" t="s">
        <v>853</v>
      </c>
      <c r="J145" s="5">
        <v>2616091.66</v>
      </c>
      <c r="K145" s="5">
        <v>271.20999999999998</v>
      </c>
      <c r="L145" s="5">
        <v>189.9</v>
      </c>
      <c r="M145" s="5">
        <v>0</v>
      </c>
      <c r="N145" s="5">
        <v>9344052</v>
      </c>
      <c r="O145" s="5">
        <v>0</v>
      </c>
      <c r="P145" s="5">
        <v>102</v>
      </c>
      <c r="Q145" s="5">
        <v>0</v>
      </c>
      <c r="R145" s="5">
        <v>0</v>
      </c>
      <c r="S145" s="5">
        <v>0</v>
      </c>
      <c r="T145" s="5">
        <v>0</v>
      </c>
      <c r="U145" s="5">
        <v>0</v>
      </c>
      <c r="V145" s="5">
        <v>8292.61</v>
      </c>
      <c r="W145" s="5">
        <v>6963.73</v>
      </c>
      <c r="X145" s="5">
        <v>13604.77</v>
      </c>
      <c r="Y145" s="5">
        <v>0.94</v>
      </c>
      <c r="Z145" s="5">
        <v>7</v>
      </c>
      <c r="AA145" s="5">
        <v>86</v>
      </c>
      <c r="AB145" s="5">
        <v>25</v>
      </c>
      <c r="AC145" s="5">
        <v>44</v>
      </c>
      <c r="AD145" s="5">
        <v>0</v>
      </c>
      <c r="AE145" s="5">
        <v>0</v>
      </c>
      <c r="AF145" s="5">
        <v>0</v>
      </c>
      <c r="AG145" s="5">
        <v>0</v>
      </c>
      <c r="AH145" s="5">
        <v>0.41899999999999998</v>
      </c>
      <c r="AI145" s="5">
        <v>0</v>
      </c>
      <c r="AJ145" s="5">
        <v>0</v>
      </c>
      <c r="AK145" s="5">
        <v>0</v>
      </c>
      <c r="AL145" s="5">
        <v>162.01</v>
      </c>
      <c r="AM145" s="5">
        <v>0</v>
      </c>
      <c r="AN145" s="5">
        <v>162</v>
      </c>
      <c r="AO145" s="5">
        <f t="shared" si="141"/>
        <v>9.9999999999909051E-3</v>
      </c>
      <c r="AP145" s="5">
        <f t="shared" si="146"/>
        <v>0</v>
      </c>
      <c r="AQ145" s="5">
        <v>6.25</v>
      </c>
      <c r="AR145" s="5">
        <v>0.14000000000000001</v>
      </c>
      <c r="AS145" s="5">
        <v>0</v>
      </c>
      <c r="AT145" s="5">
        <v>53104</v>
      </c>
      <c r="AU145" s="5">
        <v>0</v>
      </c>
      <c r="AV145" s="5">
        <v>1197</v>
      </c>
      <c r="AW145" s="5">
        <v>189.9</v>
      </c>
      <c r="AX145" s="5">
        <v>1</v>
      </c>
      <c r="AY145" s="199">
        <v>0</v>
      </c>
      <c r="AZ145" s="199">
        <v>0</v>
      </c>
      <c r="BA145" s="5">
        <v>236134.43</v>
      </c>
      <c r="BB145" s="13">
        <v>554430.36</v>
      </c>
      <c r="BC145" s="190">
        <f>MAX(ROUND(IF(F145&lt;4,IF(H145=0,(SUM(Y145:AD145)*Worksheet!$E$26+Y145*Worksheet!$E$27+AR145*Worksheet!$E$39)*-BaseRate,0)),2),MIN(0,-DI145))</f>
        <v>0</v>
      </c>
      <c r="BD145" s="190">
        <f>MAX(ROUND(IF(F145=4,0,IF(I145=0,0,ROUND(SUM(Y145:AD145)*Worksheet!$E$28,2)*-BaseRate)),2),MIN(0,-DI145-BC145))</f>
        <v>-3838.89</v>
      </c>
      <c r="BE145" s="130">
        <f t="shared" si="134"/>
        <v>0</v>
      </c>
      <c r="BF145" s="130">
        <f t="shared" si="135"/>
        <v>1408</v>
      </c>
      <c r="BG145" s="73"/>
      <c r="BH145" s="191">
        <f t="shared" si="136"/>
        <v>37066.33</v>
      </c>
      <c r="BI145" s="191">
        <f t="shared" si="137"/>
        <v>9646</v>
      </c>
      <c r="BJ145" s="232">
        <f>IFERROR(ROUND(IF(AND(BB145*1.12&lt;N145*60/1000,N145/CL145&lt;STVPP*0.2),(CL145*STVPP*0.2*Worksheet!$F$88/1000-BB145*1.12)*PropTaxAdj,IF(BB145*1.12&lt;N145*60/1000,(N145*60/1000-BB145*1.12)*PropTaxAdj,0)),2),0)</f>
        <v>0</v>
      </c>
      <c r="BK145" s="192">
        <f>ROUND(IF($F145=4,0,Y145*Worksheet!$E$16),2)</f>
        <v>0.94</v>
      </c>
      <c r="BL145" s="192">
        <f>ROUND(IF($F145=4,0,Z145*Worksheet!$E$17),2)</f>
        <v>7</v>
      </c>
      <c r="BM145" s="192">
        <f>ROUND(IF($F145=4,0,AA145*Worksheet!$E$18),2)</f>
        <v>86</v>
      </c>
      <c r="BN145" s="192">
        <f>ROUND(IF($F145=4,0,AB145*Worksheet!$E$19),2)</f>
        <v>25</v>
      </c>
      <c r="BO145" s="192">
        <f>ROUND(IF($F145=4,0,AC145*Worksheet!$E$20),2)</f>
        <v>44</v>
      </c>
      <c r="BP145" s="192">
        <f>ROUND(AD145*Worksheet!$E$21,2)</f>
        <v>0</v>
      </c>
      <c r="BQ145" s="192">
        <f t="shared" si="105"/>
        <v>162.94</v>
      </c>
      <c r="BR145" s="192">
        <f>ROUND(AD145*Worksheet!$E$25,2)</f>
        <v>0</v>
      </c>
      <c r="BS145" s="192">
        <f>ROUND(SUM(BQ145)*Worksheet!$E$26,2)</f>
        <v>14.34</v>
      </c>
      <c r="BT145" s="192">
        <f>ROUND(Y145*Worksheet!$E$27,2)</f>
        <v>0.16</v>
      </c>
      <c r="BU145" s="192">
        <f>ROUND(AO145*Worksheet!$E$29,2)</f>
        <v>0.01</v>
      </c>
      <c r="BV145" s="192">
        <f>ROUND(AP145*Worksheet!$E$30,2)</f>
        <v>0</v>
      </c>
      <c r="BW145" s="192">
        <f>ROUND(IF($I145&lt;&gt;0,$BQ145*Worksheet!$E$28,0),2)</f>
        <v>0.33</v>
      </c>
      <c r="BX145" s="192">
        <f>ROUND(AE145*Worksheet!$E$31,2)</f>
        <v>0</v>
      </c>
      <c r="BY145" s="192">
        <f>ROUND(AF145*Worksheet!$E$32,2)</f>
        <v>0</v>
      </c>
      <c r="BZ145" s="192">
        <f>ROUND(AG145*Worksheet!$E$33,2)</f>
        <v>0</v>
      </c>
      <c r="CA145" s="192">
        <f>ROUND(ROUND(AH145*BQ145,2)*Worksheet!$E$34,2)</f>
        <v>1.71</v>
      </c>
      <c r="CB145" s="192">
        <f>ROUND(AI145*Worksheet!$E$35,2)</f>
        <v>0</v>
      </c>
      <c r="CC145" s="192">
        <f>ROUND(AJ145*Worksheet!$E$36,2)</f>
        <v>0</v>
      </c>
      <c r="CD145" s="192">
        <f>ROUND(AQ145*Worksheet!$E$38,2)</f>
        <v>3.75</v>
      </c>
      <c r="CE145" s="192">
        <f>ROUND(AR145*Worksheet!$E$39,2)</f>
        <v>0.14000000000000001</v>
      </c>
      <c r="CF145" s="192">
        <f>IF(AND(L145&gt;275,SUM(Y145:AD145)&lt;100),ROUND(SUM(Y145:AD145)*Worksheet!$E$41,2),0)</f>
        <v>0</v>
      </c>
      <c r="CG145" s="192">
        <f>IF(AND(L145&gt;600,SUM(Y145:AD145)&lt;50),ROUND((50-SUM(Y145:AD145))*(Worksheet!$E$41+1),2),0)</f>
        <v>0</v>
      </c>
      <c r="CH145" s="192">
        <f t="shared" si="106"/>
        <v>183.38</v>
      </c>
      <c r="CI145" s="116">
        <f t="shared" si="142"/>
        <v>0</v>
      </c>
      <c r="CJ145" s="116">
        <f t="shared" si="143"/>
        <v>183.38</v>
      </c>
      <c r="CK145" s="95">
        <f t="shared" si="138"/>
        <v>1.3747</v>
      </c>
      <c r="CL145" s="116">
        <f t="shared" si="144"/>
        <v>252.09</v>
      </c>
      <c r="CM145" s="116">
        <f t="shared" si="145"/>
        <v>252.09</v>
      </c>
      <c r="CN145" s="116">
        <f t="shared" si="139"/>
        <v>2932562.97</v>
      </c>
      <c r="CO145" s="131">
        <f>ROUND(IF(F145=4,0,(MAX(ROUND(MAX((BI145*MIN(CL145,K145)*Worksheet!$D$126)+MAX(CL145-K145,0)*Worksheet!$F$50,SUM(J145)),2),SUM(CN145))-SUM(CN145))*MinAdj),2)</f>
        <v>0</v>
      </c>
      <c r="CP145" s="192">
        <f t="shared" si="140"/>
        <v>2932562.97</v>
      </c>
      <c r="CQ145" s="131">
        <f>IF(CL145=0,0,-MIN(CP145,MIN(CP145,ROUND(IF(ROUND(IF(CL145=0,0,N145/CL145),2)&lt;STVPP*0.2,STVPP*0.2*CL145*Worksheet!$F$88/1000,N145*Worksheet!$F$88/1000),2))))</f>
        <v>-560643.12</v>
      </c>
      <c r="CR145" s="193">
        <f>-MIN(SUM(CP145,CQ145),IF($P145=0,(ROUND(Worksheet!$E$77*S145,2)+ROUND(Worksheet!$E$78*T145,2)+ROUND(Worksheet!$E$79*U145,2)+ROUND(Worksheet!$E$80*V145,2)+ROUND(Worksheet!$E$81*W145,2)+ROUND(Worksheet!$E$82*X145,2)),(ROUND(ROUND(S145*ROUND((1-$O145/$P145),4),2)*Worksheet!$E$77,2)+ROUND(ROUND(T145*ROUND((1-$O145/$P145),4),2)*Worksheet!$E$78,2)+ROUND(ROUND(U145*ROUND((1-$O145/$P145),4),2)*Worksheet!$E$79,2)+ROUND(ROUND(V145*ROUND((1-$O145/$P145),4),2)*Worksheet!$E$80,2)+ROUND(ROUND(W145*ROUND((1-$O145/$P145),4),2)*Worksheet!$E$81,2)+ROUND(ROUND(X145*ROUND((1-$O145/$P145),4),2)*Worksheet!$E$82,2))))</f>
        <v>-21645.84</v>
      </c>
      <c r="CS145" s="192">
        <f t="shared" si="107"/>
        <v>2350274.0100000002</v>
      </c>
      <c r="CT145" s="116">
        <f>ROUND(MIN(BA145,ROUND((ROUND(AS145*Worksheet!$E$104,2)+ROUND(AV145*Worksheet!$E$107,2)+ROUND(AT145*Worksheet!$E$105,2)+ROUND(AW145*Worksheet!$E$108,2)+ROUND(AU145*Worksheet!$E$106,2)+ROUND(AX145*Worksheet!$E$109,2)+ROUND(AY145*Worksheet!$E$110,2)+ROUND(AZ145*Worksheet!$E$111,2))*Worksheet!$D$114,2))*BaseRate,2)</f>
        <v>78988.070000000007</v>
      </c>
      <c r="CU145" s="121">
        <v>0</v>
      </c>
      <c r="CV145" s="121">
        <v>0</v>
      </c>
      <c r="CW145" s="121">
        <v>0</v>
      </c>
      <c r="CX145" s="121">
        <v>0</v>
      </c>
      <c r="CY145" s="121">
        <v>0</v>
      </c>
      <c r="DA145" s="192">
        <f t="shared" si="108"/>
        <v>0</v>
      </c>
      <c r="DB145" s="192">
        <f>MAX(-CT145,MIN(0,ROUND($R145*EFBPercent+EFBAdd,2)-$Q145),MIN(0,SUM($CS145:CS145)+MIN(0,ROUND($R145*EFBPercent+EFBAdd,2)-$Q145)))</f>
        <v>0</v>
      </c>
      <c r="DC145" s="192">
        <f>IF(CU145&lt;0,0,MAX(-CU145,MIN(0,ROUND($R145*EFBPercent+EFBAdd,2)-$Q145),MIN(0,SUM($CS145:CT145)+MIN(0,ROUND($R145*EFBPercent+EFBAdd,2)-$Q145))))</f>
        <v>0</v>
      </c>
      <c r="DD145" s="192">
        <f>IF(CV145&lt;0,0,MAX(-CV145,MIN(0,ROUND($R145*EFBPercent+EFBAdd,2)-$Q145),MIN(0,SUM($CS145:CU145)+MIN(0,ROUND($R145*EFBPercent+EFBAdd,2)-$Q145))))</f>
        <v>0</v>
      </c>
      <c r="DE145" s="192">
        <f>IF(CW145&lt;0,0,MAX(-CW145,MIN(0,ROUND($R145*EFBPercent+EFBAdd,2)-$Q145),MIN(0,SUM($CS145:CV145)+MIN(0,ROUND($R145*EFBPercent+EFBAdd,2)-$Q145))))</f>
        <v>0</v>
      </c>
      <c r="DF145" s="192">
        <f>IF(CX145&lt;0,0,MAX(-CX145,MIN(0,ROUND($R145*EFBPercent+EFBAdd,2)-$Q145),MIN(0,SUM($CS145:CW145)+MIN(0,ROUND($R145*EFBPercent+EFBAdd,2)-$Q145))))</f>
        <v>0</v>
      </c>
      <c r="DG145" s="192">
        <f>MAX(-CY145,MIN(0,ROUND($R145*EFBPercent+EFBAdd,2)-$Q145),MIN(0,SUM($CS145:CX145)+MIN(0,ROUND($R145*EFBPercent+EFBAdd,2)-$Q145)))</f>
        <v>0</v>
      </c>
      <c r="DI145" s="73">
        <f t="shared" si="109"/>
        <v>2350274.0100000002</v>
      </c>
      <c r="DJ145" s="73">
        <f t="shared" si="110"/>
        <v>78988.070000000007</v>
      </c>
      <c r="DK145" s="73">
        <f t="shared" si="111"/>
        <v>0</v>
      </c>
      <c r="DL145" s="73">
        <f t="shared" si="112"/>
        <v>0</v>
      </c>
      <c r="DM145" s="73">
        <f t="shared" si="113"/>
        <v>0</v>
      </c>
      <c r="DN145" s="73">
        <f t="shared" si="114"/>
        <v>0</v>
      </c>
      <c r="DO145" s="73">
        <f t="shared" si="115"/>
        <v>0</v>
      </c>
      <c r="DP145" s="73"/>
      <c r="DQ145" s="73"/>
    </row>
    <row r="146" spans="1:121" ht="10.199999999999999" x14ac:dyDescent="0.2">
      <c r="A146" s="4" t="s">
        <v>612</v>
      </c>
      <c r="B146" s="188">
        <v>1167</v>
      </c>
      <c r="C146" s="189" t="s">
        <v>136</v>
      </c>
      <c r="D146" s="4">
        <v>2027</v>
      </c>
      <c r="E146" s="4" t="s">
        <v>449</v>
      </c>
      <c r="F146" s="4">
        <v>1</v>
      </c>
      <c r="G146" s="4" t="s">
        <v>677</v>
      </c>
      <c r="H146" s="4">
        <v>100</v>
      </c>
      <c r="I146" s="4" t="s">
        <v>853</v>
      </c>
      <c r="J146" s="5">
        <v>12917440.9</v>
      </c>
      <c r="K146" s="5">
        <v>1339.15</v>
      </c>
      <c r="L146" s="5">
        <v>257.13</v>
      </c>
      <c r="M146" s="5">
        <v>0</v>
      </c>
      <c r="N146" s="5">
        <v>52533427</v>
      </c>
      <c r="O146" s="5">
        <v>38.5</v>
      </c>
      <c r="P146" s="5">
        <v>130.98000000000002</v>
      </c>
      <c r="Q146" s="5">
        <v>0</v>
      </c>
      <c r="R146" s="5">
        <v>0</v>
      </c>
      <c r="S146" s="5">
        <v>18480.990000000002</v>
      </c>
      <c r="T146" s="5">
        <v>0</v>
      </c>
      <c r="U146" s="5">
        <v>0</v>
      </c>
      <c r="V146" s="5">
        <v>61833.279999999999</v>
      </c>
      <c r="W146" s="5">
        <v>83866.62999999999</v>
      </c>
      <c r="X146" s="5">
        <v>53071.47</v>
      </c>
      <c r="Y146" s="5">
        <v>8.5</v>
      </c>
      <c r="Z146" s="5">
        <v>91</v>
      </c>
      <c r="AA146" s="5">
        <v>573.13</v>
      </c>
      <c r="AB146" s="5">
        <v>176</v>
      </c>
      <c r="AC146" s="5">
        <v>356.13</v>
      </c>
      <c r="AD146" s="5">
        <v>0</v>
      </c>
      <c r="AE146" s="5">
        <v>7.85</v>
      </c>
      <c r="AF146" s="5">
        <v>3.85</v>
      </c>
      <c r="AG146" s="5">
        <v>14.75</v>
      </c>
      <c r="AH146" s="5">
        <v>0.40100000000000002</v>
      </c>
      <c r="AI146" s="5">
        <v>0</v>
      </c>
      <c r="AJ146" s="5">
        <v>0</v>
      </c>
      <c r="AK146" s="5">
        <v>0</v>
      </c>
      <c r="AL146" s="5">
        <v>1196.81</v>
      </c>
      <c r="AM146" s="5">
        <v>2.2799999999999727</v>
      </c>
      <c r="AN146" s="5">
        <v>1195</v>
      </c>
      <c r="AO146" s="5">
        <f t="shared" si="141"/>
        <v>0.54999999999995453</v>
      </c>
      <c r="AP146" s="5">
        <f t="shared" si="146"/>
        <v>1.2599999999999909</v>
      </c>
      <c r="AQ146" s="5">
        <v>20.420000000000002</v>
      </c>
      <c r="AR146" s="5">
        <v>0.05</v>
      </c>
      <c r="AS146" s="5">
        <v>12279.1</v>
      </c>
      <c r="AT146" s="5">
        <v>130034.6</v>
      </c>
      <c r="AU146" s="5">
        <v>1747</v>
      </c>
      <c r="AV146" s="5">
        <v>7264</v>
      </c>
      <c r="AW146" s="5">
        <v>257.13</v>
      </c>
      <c r="AX146" s="5">
        <v>4</v>
      </c>
      <c r="AY146" s="199">
        <v>0</v>
      </c>
      <c r="AZ146" s="199">
        <v>0</v>
      </c>
      <c r="BA146" s="5">
        <v>583598.97</v>
      </c>
      <c r="BB146" s="13">
        <v>2998872.42</v>
      </c>
      <c r="BC146" s="190">
        <f>MAX(ROUND(IF(F146&lt;4,IF(H146=0,(SUM(Y146:AD146)*Worksheet!$E$26+Y146*Worksheet!$E$27+AR146*Worksheet!$E$39)*-BaseRate,0)),2),MIN(0,-DI146))</f>
        <v>0</v>
      </c>
      <c r="BD146" s="190">
        <f>MAX(ROUND(IF(F146=4,0,IF(I146=0,0,ROUND(SUM(Y146:AD146)*Worksheet!$E$28,2)*-BaseRate)),2),MIN(0,-DI146-BC146))</f>
        <v>-28035.53</v>
      </c>
      <c r="BE146" s="130">
        <f t="shared" si="134"/>
        <v>0</v>
      </c>
      <c r="BF146" s="130">
        <f t="shared" si="135"/>
        <v>1408</v>
      </c>
      <c r="BG146" s="73"/>
      <c r="BH146" s="191">
        <f t="shared" si="136"/>
        <v>39026.97</v>
      </c>
      <c r="BI146" s="191">
        <f t="shared" si="137"/>
        <v>9646</v>
      </c>
      <c r="BJ146" s="232">
        <f>IFERROR(ROUND(IF(AND(BB146*1.12&lt;N146*60/1000,N146/CL146&lt;STVPP*0.2),(CL146*STVPP*0.2*Worksheet!$F$88/1000-BB146*1.12)*PropTaxAdj,IF(BB146*1.12&lt;N146*60/1000,(N146*60/1000-BB146*1.12)*PropTaxAdj,0)),2),0)</f>
        <v>0</v>
      </c>
      <c r="BK146" s="192">
        <f>ROUND(IF($F146=4,0,Y146*Worksheet!$E$16),2)</f>
        <v>8.5</v>
      </c>
      <c r="BL146" s="192">
        <f>ROUND(IF($F146=4,0,Z146*Worksheet!$E$17),2)</f>
        <v>91</v>
      </c>
      <c r="BM146" s="192">
        <f>ROUND(IF($F146=4,0,AA146*Worksheet!$E$18),2)</f>
        <v>573.13</v>
      </c>
      <c r="BN146" s="192">
        <f>ROUND(IF($F146=4,0,AB146*Worksheet!$E$19),2)</f>
        <v>176</v>
      </c>
      <c r="BO146" s="192">
        <f>ROUND(IF($F146=4,0,AC146*Worksheet!$E$20),2)</f>
        <v>356.13</v>
      </c>
      <c r="BP146" s="192">
        <f>ROUND(AD146*Worksheet!$E$21,2)</f>
        <v>0</v>
      </c>
      <c r="BQ146" s="192">
        <f t="shared" si="105"/>
        <v>1204.76</v>
      </c>
      <c r="BR146" s="192">
        <f>ROUND(AD146*Worksheet!$E$25,2)</f>
        <v>0</v>
      </c>
      <c r="BS146" s="192">
        <f>ROUND(SUM(BQ146)*Worksheet!$E$26,2)</f>
        <v>106.02</v>
      </c>
      <c r="BT146" s="192">
        <f>ROUND(Y146*Worksheet!$E$27,2)</f>
        <v>1.45</v>
      </c>
      <c r="BU146" s="192">
        <f>ROUND(AO146*Worksheet!$E$29,2)</f>
        <v>0.55000000000000004</v>
      </c>
      <c r="BV146" s="192">
        <f>ROUND(AP146*Worksheet!$E$30,2)</f>
        <v>1.26</v>
      </c>
      <c r="BW146" s="192">
        <f>ROUND(IF($I146&lt;&gt;0,$BQ146*Worksheet!$E$28,0),2)</f>
        <v>2.41</v>
      </c>
      <c r="BX146" s="192">
        <f>ROUND(AE146*Worksheet!$E$31,2)</f>
        <v>3.14</v>
      </c>
      <c r="BY146" s="192">
        <f>ROUND(AF146*Worksheet!$E$32,2)</f>
        <v>1.08</v>
      </c>
      <c r="BZ146" s="192">
        <f>ROUND(AG146*Worksheet!$E$33,2)</f>
        <v>1.03</v>
      </c>
      <c r="CA146" s="192">
        <f>ROUND(ROUND(AH146*BQ146,2)*Worksheet!$E$34,2)</f>
        <v>12.08</v>
      </c>
      <c r="CB146" s="192">
        <f>ROUND(AI146*Worksheet!$E$35,2)</f>
        <v>0</v>
      </c>
      <c r="CC146" s="192">
        <f>ROUND(AJ146*Worksheet!$E$36,2)</f>
        <v>0</v>
      </c>
      <c r="CD146" s="192">
        <f>ROUND(AQ146*Worksheet!$E$38,2)</f>
        <v>12.25</v>
      </c>
      <c r="CE146" s="192">
        <f>ROUND(AR146*Worksheet!$E$39,2)</f>
        <v>0.05</v>
      </c>
      <c r="CF146" s="192">
        <f>IF(AND(L146&gt;275,SUM(Y146:AD146)&lt;100),ROUND(SUM(Y146:AD146)*Worksheet!$E$41,2),0)</f>
        <v>0</v>
      </c>
      <c r="CG146" s="192">
        <f>IF(AND(L146&gt;600,SUM(Y146:AD146)&lt;50),ROUND((50-SUM(Y146:AD146))*(Worksheet!$E$41+1),2),0)</f>
        <v>0</v>
      </c>
      <c r="CH146" s="192">
        <f t="shared" si="106"/>
        <v>1346.08</v>
      </c>
      <c r="CI146" s="116">
        <f t="shared" si="142"/>
        <v>0</v>
      </c>
      <c r="CJ146" s="116">
        <f t="shared" si="143"/>
        <v>1346.08</v>
      </c>
      <c r="CK146" s="95">
        <f t="shared" si="138"/>
        <v>1</v>
      </c>
      <c r="CL146" s="116">
        <f t="shared" si="144"/>
        <v>1346.08</v>
      </c>
      <c r="CM146" s="116">
        <f t="shared" si="145"/>
        <v>1346.08</v>
      </c>
      <c r="CN146" s="116">
        <f t="shared" si="139"/>
        <v>15658948.640000001</v>
      </c>
      <c r="CO146" s="131">
        <f>ROUND(IF(F146=4,0,(MAX(ROUND(MAX((BI146*MIN(CL146,K146)*Worksheet!$D$126)+MAX(CL146-K146,0)*Worksheet!$F$50,SUM(J146)),2),SUM(CN146))-SUM(CN146))*MinAdj),2)</f>
        <v>0</v>
      </c>
      <c r="CP146" s="192">
        <f t="shared" si="140"/>
        <v>15658948.640000001</v>
      </c>
      <c r="CQ146" s="131">
        <f>IF(CL146=0,0,-MIN(CP146,MIN(CP146,ROUND(IF(ROUND(IF(CL146=0,0,N146/CL146),2)&lt;STVPP*0.2,STVPP*0.2*CL146*Worksheet!$F$88/1000,N146*Worksheet!$F$88/1000),2))))</f>
        <v>-3152005.62</v>
      </c>
      <c r="CR146" s="193">
        <f>-MIN(SUM(CP146,CQ146),IF($P146=0,(ROUND(Worksheet!$E$77*S146,2)+ROUND(Worksheet!$E$78*T146,2)+ROUND(Worksheet!$E$79*U146,2)+ROUND(Worksheet!$E$80*V146,2)+ROUND(Worksheet!$E$81*W146,2)+ROUND(Worksheet!$E$82*X146,2)),(ROUND(ROUND(S146*ROUND((1-$O146/$P146),4),2)*Worksheet!$E$77,2)+ROUND(ROUND(T146*ROUND((1-$O146/$P146),4),2)*Worksheet!$E$78,2)+ROUND(ROUND(U146*ROUND((1-$O146/$P146),4),2)*Worksheet!$E$79,2)+ROUND(ROUND(V146*ROUND((1-$O146/$P146),4),2)*Worksheet!$E$80,2)+ROUND(ROUND(W146*ROUND((1-$O146/$P146),4),2)*Worksheet!$E$81,2)+ROUND(ROUND(X146*ROUND((1-$O146/$P146),4),2)*Worksheet!$E$82,2))))</f>
        <v>-115051.42000000001</v>
      </c>
      <c r="CS146" s="192">
        <f t="shared" si="107"/>
        <v>12391891.6</v>
      </c>
      <c r="CT146" s="116">
        <f>ROUND(MIN(BA146,ROUND((ROUND(AS146*Worksheet!$E$104,2)+ROUND(AV146*Worksheet!$E$107,2)+ROUND(AT146*Worksheet!$E$105,2)+ROUND(AW146*Worksheet!$E$108,2)+ROUND(AU146*Worksheet!$E$106,2)+ROUND(AX146*Worksheet!$E$109,2)+ROUND(AY146*Worksheet!$E$110,2)+ROUND(AZ146*Worksheet!$E$111,2))*Worksheet!$D$114,2))*BaseRate,2)</f>
        <v>255460.68</v>
      </c>
      <c r="CU146" s="121">
        <v>0</v>
      </c>
      <c r="CV146" s="121">
        <v>0</v>
      </c>
      <c r="CW146" s="121">
        <v>0</v>
      </c>
      <c r="CX146" s="121">
        <v>0</v>
      </c>
      <c r="CY146" s="121">
        <v>0</v>
      </c>
      <c r="DA146" s="192">
        <f t="shared" si="108"/>
        <v>0</v>
      </c>
      <c r="DB146" s="192">
        <f>MAX(-CT146,MIN(0,ROUND($R146*EFBPercent+EFBAdd,2)-$Q146),MIN(0,SUM($CS146:CS146)+MIN(0,ROUND($R146*EFBPercent+EFBAdd,2)-$Q146)))</f>
        <v>0</v>
      </c>
      <c r="DC146" s="192">
        <f>IF(CU146&lt;0,0,MAX(-CU146,MIN(0,ROUND($R146*EFBPercent+EFBAdd,2)-$Q146),MIN(0,SUM($CS146:CT146)+MIN(0,ROUND($R146*EFBPercent+EFBAdd,2)-$Q146))))</f>
        <v>0</v>
      </c>
      <c r="DD146" s="192">
        <f>IF(CV146&lt;0,0,MAX(-CV146,MIN(0,ROUND($R146*EFBPercent+EFBAdd,2)-$Q146),MIN(0,SUM($CS146:CU146)+MIN(0,ROUND($R146*EFBPercent+EFBAdd,2)-$Q146))))</f>
        <v>0</v>
      </c>
      <c r="DE146" s="192">
        <f>IF(CW146&lt;0,0,MAX(-CW146,MIN(0,ROUND($R146*EFBPercent+EFBAdd,2)-$Q146),MIN(0,SUM($CS146:CV146)+MIN(0,ROUND($R146*EFBPercent+EFBAdd,2)-$Q146))))</f>
        <v>0</v>
      </c>
      <c r="DF146" s="192">
        <f>IF(CX146&lt;0,0,MAX(-CX146,MIN(0,ROUND($R146*EFBPercent+EFBAdd,2)-$Q146),MIN(0,SUM($CS146:CW146)+MIN(0,ROUND($R146*EFBPercent+EFBAdd,2)-$Q146))))</f>
        <v>0</v>
      </c>
      <c r="DG146" s="192">
        <f>MAX(-CY146,MIN(0,ROUND($R146*EFBPercent+EFBAdd,2)-$Q146),MIN(0,SUM($CS146:CX146)+MIN(0,ROUND($R146*EFBPercent+EFBAdd,2)-$Q146)))</f>
        <v>0</v>
      </c>
      <c r="DI146" s="73">
        <f t="shared" si="109"/>
        <v>12391891.6</v>
      </c>
      <c r="DJ146" s="73">
        <f t="shared" si="110"/>
        <v>255460.68</v>
      </c>
      <c r="DK146" s="73">
        <f t="shared" si="111"/>
        <v>0</v>
      </c>
      <c r="DL146" s="73">
        <f t="shared" si="112"/>
        <v>0</v>
      </c>
      <c r="DM146" s="73">
        <f t="shared" si="113"/>
        <v>0</v>
      </c>
      <c r="DN146" s="73">
        <f t="shared" si="114"/>
        <v>0</v>
      </c>
      <c r="DO146" s="73">
        <f t="shared" si="115"/>
        <v>0</v>
      </c>
      <c r="DP146" s="73"/>
      <c r="DQ146" s="73"/>
    </row>
    <row r="147" spans="1:121" ht="10.199999999999999" x14ac:dyDescent="0.2">
      <c r="A147" s="4" t="s">
        <v>613</v>
      </c>
      <c r="B147" s="188">
        <v>1178</v>
      </c>
      <c r="C147" s="189" t="s">
        <v>137</v>
      </c>
      <c r="D147" s="4">
        <v>2027</v>
      </c>
      <c r="E147" s="4" t="s">
        <v>450</v>
      </c>
      <c r="F147" s="4">
        <v>1</v>
      </c>
      <c r="G147" s="4" t="s">
        <v>676</v>
      </c>
      <c r="H147" s="4">
        <v>100</v>
      </c>
      <c r="I147" s="4" t="s">
        <v>853</v>
      </c>
      <c r="J147" s="5">
        <v>3055852.8</v>
      </c>
      <c r="K147" s="5">
        <v>316.8</v>
      </c>
      <c r="L147" s="5">
        <v>310.51</v>
      </c>
      <c r="M147" s="5">
        <v>0</v>
      </c>
      <c r="N147" s="5">
        <v>15743712</v>
      </c>
      <c r="O147" s="5">
        <v>0</v>
      </c>
      <c r="P147" s="5">
        <v>110.14999999999999</v>
      </c>
      <c r="Q147" s="5">
        <v>0</v>
      </c>
      <c r="R147" s="5">
        <v>0</v>
      </c>
      <c r="S147" s="5">
        <v>2250</v>
      </c>
      <c r="T147" s="5">
        <v>0</v>
      </c>
      <c r="U147" s="5">
        <v>0</v>
      </c>
      <c r="V147" s="5">
        <v>10035.57</v>
      </c>
      <c r="W147" s="5">
        <v>393.03</v>
      </c>
      <c r="X147" s="5">
        <v>14335.8</v>
      </c>
      <c r="Y147" s="5">
        <v>0</v>
      </c>
      <c r="Z147" s="5">
        <v>13</v>
      </c>
      <c r="AA147" s="5">
        <v>105</v>
      </c>
      <c r="AB147" s="5">
        <v>38</v>
      </c>
      <c r="AC147" s="5">
        <v>83</v>
      </c>
      <c r="AD147" s="5">
        <v>0</v>
      </c>
      <c r="AE147" s="5">
        <v>0</v>
      </c>
      <c r="AF147" s="5">
        <v>0</v>
      </c>
      <c r="AG147" s="5">
        <v>0</v>
      </c>
      <c r="AH147" s="5">
        <v>0.17</v>
      </c>
      <c r="AI147" s="5">
        <v>0</v>
      </c>
      <c r="AJ147" s="5">
        <v>0</v>
      </c>
      <c r="AK147" s="5">
        <v>0</v>
      </c>
      <c r="AL147" s="5">
        <v>238.86</v>
      </c>
      <c r="AM147" s="5">
        <v>0</v>
      </c>
      <c r="AN147" s="5">
        <v>239</v>
      </c>
      <c r="AO147" s="5">
        <f t="shared" si="141"/>
        <v>0</v>
      </c>
      <c r="AP147" s="5">
        <f t="shared" si="146"/>
        <v>0</v>
      </c>
      <c r="AQ147" s="5">
        <v>16.260000000000002</v>
      </c>
      <c r="AR147" s="5">
        <v>0.05</v>
      </c>
      <c r="AS147" s="5">
        <v>0</v>
      </c>
      <c r="AT147" s="5">
        <v>86554</v>
      </c>
      <c r="AU147" s="5">
        <v>0</v>
      </c>
      <c r="AV147" s="5">
        <v>2415</v>
      </c>
      <c r="AW147" s="5">
        <v>310.51</v>
      </c>
      <c r="AX147" s="5">
        <v>1</v>
      </c>
      <c r="AY147" s="199">
        <v>0</v>
      </c>
      <c r="AZ147" s="199">
        <v>0</v>
      </c>
      <c r="BA147" s="5">
        <v>301485.46999999997</v>
      </c>
      <c r="BB147" s="13">
        <v>936681.24</v>
      </c>
      <c r="BC147" s="190">
        <f>MAX(ROUND(IF(F147&lt;4,IF(H147=0,(SUM(Y147:AD147)*Worksheet!$E$26+Y147*Worksheet!$E$27+AR147*Worksheet!$E$39)*-BaseRate,0)),2),MIN(0,-DI147))</f>
        <v>0</v>
      </c>
      <c r="BD147" s="190">
        <f>MAX(ROUND(IF(F147=4,0,IF(I147=0,0,ROUND(SUM(Y147:AD147)*Worksheet!$E$28,2)*-BaseRate)),2),MIN(0,-DI147-BC147))</f>
        <v>-5583.84</v>
      </c>
      <c r="BE147" s="130">
        <f t="shared" si="134"/>
        <v>0</v>
      </c>
      <c r="BF147" s="130">
        <f t="shared" si="135"/>
        <v>1408</v>
      </c>
      <c r="BG147" s="73"/>
      <c r="BH147" s="191">
        <f t="shared" si="136"/>
        <v>47559.77</v>
      </c>
      <c r="BI147" s="191">
        <f t="shared" si="137"/>
        <v>9646</v>
      </c>
      <c r="BJ147" s="232">
        <f>IFERROR(ROUND(IF(AND(BB147*1.12&lt;N147*60/1000,N147/CL147&lt;STVPP*0.2),(CL147*STVPP*0.2*Worksheet!$F$88/1000-BB147*1.12)*PropTaxAdj,IF(BB147*1.12&lt;N147*60/1000,(N147*60/1000-BB147*1.12)*PropTaxAdj,0)),2),0)</f>
        <v>0</v>
      </c>
      <c r="BK147" s="192">
        <f>ROUND(IF($F147=4,0,Y147*Worksheet!$E$16),2)</f>
        <v>0</v>
      </c>
      <c r="BL147" s="192">
        <f>ROUND(IF($F147=4,0,Z147*Worksheet!$E$17),2)</f>
        <v>13</v>
      </c>
      <c r="BM147" s="192">
        <f>ROUND(IF($F147=4,0,AA147*Worksheet!$E$18),2)</f>
        <v>105</v>
      </c>
      <c r="BN147" s="192">
        <f>ROUND(IF($F147=4,0,AB147*Worksheet!$E$19),2)</f>
        <v>38</v>
      </c>
      <c r="BO147" s="192">
        <f>ROUND(IF($F147=4,0,AC147*Worksheet!$E$20),2)</f>
        <v>83</v>
      </c>
      <c r="BP147" s="192">
        <f>ROUND(AD147*Worksheet!$E$21,2)</f>
        <v>0</v>
      </c>
      <c r="BQ147" s="192">
        <f t="shared" si="105"/>
        <v>239</v>
      </c>
      <c r="BR147" s="192">
        <f>ROUND(AD147*Worksheet!$E$25,2)</f>
        <v>0</v>
      </c>
      <c r="BS147" s="192">
        <f>ROUND(SUM(BQ147)*Worksheet!$E$26,2)</f>
        <v>21.03</v>
      </c>
      <c r="BT147" s="192">
        <f>ROUND(Y147*Worksheet!$E$27,2)</f>
        <v>0</v>
      </c>
      <c r="BU147" s="192">
        <f>ROUND(AO147*Worksheet!$E$29,2)</f>
        <v>0</v>
      </c>
      <c r="BV147" s="192">
        <f>ROUND(AP147*Worksheet!$E$30,2)</f>
        <v>0</v>
      </c>
      <c r="BW147" s="192">
        <f>ROUND(IF($I147&lt;&gt;0,$BQ147*Worksheet!$E$28,0),2)</f>
        <v>0.48</v>
      </c>
      <c r="BX147" s="192">
        <f>ROUND(AE147*Worksheet!$E$31,2)</f>
        <v>0</v>
      </c>
      <c r="BY147" s="192">
        <f>ROUND(AF147*Worksheet!$E$32,2)</f>
        <v>0</v>
      </c>
      <c r="BZ147" s="192">
        <f>ROUND(AG147*Worksheet!$E$33,2)</f>
        <v>0</v>
      </c>
      <c r="CA147" s="192">
        <f>ROUND(ROUND(AH147*BQ147,2)*Worksheet!$E$34,2)</f>
        <v>1.02</v>
      </c>
      <c r="CB147" s="192">
        <f>ROUND(AI147*Worksheet!$E$35,2)</f>
        <v>0</v>
      </c>
      <c r="CC147" s="192">
        <f>ROUND(AJ147*Worksheet!$E$36,2)</f>
        <v>0</v>
      </c>
      <c r="CD147" s="192">
        <f>ROUND(AQ147*Worksheet!$E$38,2)</f>
        <v>9.76</v>
      </c>
      <c r="CE147" s="192">
        <f>ROUND(AR147*Worksheet!$E$39,2)</f>
        <v>0.05</v>
      </c>
      <c r="CF147" s="192">
        <f>IF(AND(L147&gt;275,SUM(Y147:AD147)&lt;100),ROUND(SUM(Y147:AD147)*Worksheet!$E$41,2),0)</f>
        <v>0</v>
      </c>
      <c r="CG147" s="192">
        <f>IF(AND(L147&gt;600,SUM(Y147:AD147)&lt;50),ROUND((50-SUM(Y147:AD147))*(Worksheet!$E$41+1),2),0)</f>
        <v>0</v>
      </c>
      <c r="CH147" s="192">
        <f t="shared" si="106"/>
        <v>271.33999999999997</v>
      </c>
      <c r="CI147" s="116">
        <f t="shared" si="142"/>
        <v>0</v>
      </c>
      <c r="CJ147" s="116">
        <f t="shared" si="143"/>
        <v>271.33999999999997</v>
      </c>
      <c r="CK147" s="95">
        <f t="shared" si="138"/>
        <v>1.22</v>
      </c>
      <c r="CL147" s="116">
        <f t="shared" si="144"/>
        <v>331.03</v>
      </c>
      <c r="CM147" s="116">
        <f t="shared" si="145"/>
        <v>331.03</v>
      </c>
      <c r="CN147" s="116">
        <f t="shared" si="139"/>
        <v>3850871.99</v>
      </c>
      <c r="CO147" s="131">
        <f>ROUND(IF(F147=4,0,(MAX(ROUND(MAX((BI147*MIN(CL147,K147)*Worksheet!$D$126)+MAX(CL147-K147,0)*Worksheet!$F$50,SUM(J147)),2),SUM(CN147))-SUM(CN147))*MinAdj),2)</f>
        <v>0</v>
      </c>
      <c r="CP147" s="192">
        <f t="shared" si="140"/>
        <v>3850871.99</v>
      </c>
      <c r="CQ147" s="131">
        <f>IF(CL147=0,0,-MIN(CP147,MIN(CP147,ROUND(IF(ROUND(IF(CL147=0,0,N147/CL147),2)&lt;STVPP*0.2,STVPP*0.2*CL147*Worksheet!$F$88/1000,N147*Worksheet!$F$88/1000),2))))</f>
        <v>-944622.72</v>
      </c>
      <c r="CR147" s="193">
        <f>-MIN(SUM(CP147,CQ147),IF($P147=0,(ROUND(Worksheet!$E$77*S147,2)+ROUND(Worksheet!$E$78*T147,2)+ROUND(Worksheet!$E$79*U147,2)+ROUND(Worksheet!$E$80*V147,2)+ROUND(Worksheet!$E$81*W147,2)+ROUND(Worksheet!$E$82*X147,2)),(ROUND(ROUND(S147*ROUND((1-$O147/$P147),4),2)*Worksheet!$E$77,2)+ROUND(ROUND(T147*ROUND((1-$O147/$P147),4),2)*Worksheet!$E$78,2)+ROUND(ROUND(U147*ROUND((1-$O147/$P147),4),2)*Worksheet!$E$79,2)+ROUND(ROUND(V147*ROUND((1-$O147/$P147),4),2)*Worksheet!$E$80,2)+ROUND(ROUND(W147*ROUND((1-$O147/$P147),4),2)*Worksheet!$E$81,2)+ROUND(ROUND(X147*ROUND((1-$O147/$P147),4),2)*Worksheet!$E$82,2))))</f>
        <v>-20260.800000000003</v>
      </c>
      <c r="CS147" s="192">
        <f t="shared" si="107"/>
        <v>2885988.4700000007</v>
      </c>
      <c r="CT147" s="116">
        <f>ROUND(MIN(BA147,ROUND((ROUND(AS147*Worksheet!$E$104,2)+ROUND(AV147*Worksheet!$E$107,2)+ROUND(AT147*Worksheet!$E$105,2)+ROUND(AW147*Worksheet!$E$108,2)+ROUND(AU147*Worksheet!$E$106,2)+ROUND(AX147*Worksheet!$E$109,2)+ROUND(AY147*Worksheet!$E$110,2)+ROUND(AZ147*Worksheet!$E$111,2))*Worksheet!$D$114,2))*BaseRate,2)</f>
        <v>132383.54</v>
      </c>
      <c r="CU147" s="121">
        <v>0</v>
      </c>
      <c r="CV147" s="121">
        <v>0</v>
      </c>
      <c r="CW147" s="121">
        <v>0</v>
      </c>
      <c r="CX147" s="121">
        <v>0</v>
      </c>
      <c r="CY147" s="121">
        <v>0</v>
      </c>
      <c r="DA147" s="192">
        <f t="shared" si="108"/>
        <v>0</v>
      </c>
      <c r="DB147" s="192">
        <f>MAX(-CT147,MIN(0,ROUND($R147*EFBPercent+EFBAdd,2)-$Q147),MIN(0,SUM($CS147:CS147)+MIN(0,ROUND($R147*EFBPercent+EFBAdd,2)-$Q147)))</f>
        <v>0</v>
      </c>
      <c r="DC147" s="192">
        <f>IF(CU147&lt;0,0,MAX(-CU147,MIN(0,ROUND($R147*EFBPercent+EFBAdd,2)-$Q147),MIN(0,SUM($CS147:CT147)+MIN(0,ROUND($R147*EFBPercent+EFBAdd,2)-$Q147))))</f>
        <v>0</v>
      </c>
      <c r="DD147" s="192">
        <f>IF(CV147&lt;0,0,MAX(-CV147,MIN(0,ROUND($R147*EFBPercent+EFBAdd,2)-$Q147),MIN(0,SUM($CS147:CU147)+MIN(0,ROUND($R147*EFBPercent+EFBAdd,2)-$Q147))))</f>
        <v>0</v>
      </c>
      <c r="DE147" s="192">
        <f>IF(CW147&lt;0,0,MAX(-CW147,MIN(0,ROUND($R147*EFBPercent+EFBAdd,2)-$Q147),MIN(0,SUM($CS147:CV147)+MIN(0,ROUND($R147*EFBPercent+EFBAdd,2)-$Q147))))</f>
        <v>0</v>
      </c>
      <c r="DF147" s="192">
        <f>IF(CX147&lt;0,0,MAX(-CX147,MIN(0,ROUND($R147*EFBPercent+EFBAdd,2)-$Q147),MIN(0,SUM($CS147:CW147)+MIN(0,ROUND($R147*EFBPercent+EFBAdd,2)-$Q147))))</f>
        <v>0</v>
      </c>
      <c r="DG147" s="192">
        <f>MAX(-CY147,MIN(0,ROUND($R147*EFBPercent+EFBAdd,2)-$Q147),MIN(0,SUM($CS147:CX147)+MIN(0,ROUND($R147*EFBPercent+EFBAdd,2)-$Q147)))</f>
        <v>0</v>
      </c>
      <c r="DI147" s="73">
        <f t="shared" si="109"/>
        <v>2885988.4700000007</v>
      </c>
      <c r="DJ147" s="73">
        <f t="shared" si="110"/>
        <v>132383.54</v>
      </c>
      <c r="DK147" s="73">
        <f t="shared" si="111"/>
        <v>0</v>
      </c>
      <c r="DL147" s="73">
        <f t="shared" si="112"/>
        <v>0</v>
      </c>
      <c r="DM147" s="73">
        <f t="shared" si="113"/>
        <v>0</v>
      </c>
      <c r="DN147" s="73">
        <f t="shared" si="114"/>
        <v>0</v>
      </c>
      <c r="DO147" s="73">
        <f t="shared" si="115"/>
        <v>0</v>
      </c>
      <c r="DP147" s="73"/>
      <c r="DQ147" s="73"/>
    </row>
    <row r="148" spans="1:121" ht="10.199999999999999" x14ac:dyDescent="0.2">
      <c r="A148" s="4" t="s">
        <v>614</v>
      </c>
      <c r="B148" s="188">
        <v>1136</v>
      </c>
      <c r="C148" s="189" t="s">
        <v>138</v>
      </c>
      <c r="D148" s="4">
        <v>2027</v>
      </c>
      <c r="E148" s="4" t="s">
        <v>451</v>
      </c>
      <c r="F148" s="4">
        <v>1</v>
      </c>
      <c r="G148" s="4" t="s">
        <v>676</v>
      </c>
      <c r="H148" s="4">
        <v>100</v>
      </c>
      <c r="I148" s="4" t="s">
        <v>853</v>
      </c>
      <c r="J148" s="5">
        <v>3192922.46</v>
      </c>
      <c r="K148" s="5">
        <v>331.01</v>
      </c>
      <c r="L148" s="5">
        <v>222.07</v>
      </c>
      <c r="M148" s="5">
        <v>0</v>
      </c>
      <c r="N148" s="5">
        <v>16823034</v>
      </c>
      <c r="O148" s="5">
        <v>30</v>
      </c>
      <c r="P148" s="5">
        <v>106.5</v>
      </c>
      <c r="Q148" s="5">
        <v>0</v>
      </c>
      <c r="R148" s="5">
        <v>0</v>
      </c>
      <c r="S148" s="5">
        <v>0</v>
      </c>
      <c r="T148" s="5">
        <v>0</v>
      </c>
      <c r="U148" s="5">
        <v>0</v>
      </c>
      <c r="V148" s="5">
        <v>15213.26</v>
      </c>
      <c r="W148" s="5">
        <v>5151.8500000000004</v>
      </c>
      <c r="X148" s="5">
        <v>14432.05</v>
      </c>
      <c r="Y148" s="5">
        <v>1.23</v>
      </c>
      <c r="Z148" s="5">
        <v>33</v>
      </c>
      <c r="AA148" s="5">
        <v>129</v>
      </c>
      <c r="AB148" s="5">
        <v>51</v>
      </c>
      <c r="AC148" s="5">
        <v>84</v>
      </c>
      <c r="AD148" s="5">
        <v>0</v>
      </c>
      <c r="AE148" s="5">
        <v>0</v>
      </c>
      <c r="AF148" s="5">
        <v>0</v>
      </c>
      <c r="AG148" s="5">
        <v>0</v>
      </c>
      <c r="AH148" s="5">
        <v>0.14699999999999999</v>
      </c>
      <c r="AI148" s="5">
        <v>0</v>
      </c>
      <c r="AJ148" s="5">
        <v>0</v>
      </c>
      <c r="AK148" s="5">
        <v>0</v>
      </c>
      <c r="AL148" s="5">
        <v>297.46000000000004</v>
      </c>
      <c r="AM148" s="5">
        <v>14.329999999999984</v>
      </c>
      <c r="AN148" s="5">
        <v>297</v>
      </c>
      <c r="AO148" s="5">
        <f t="shared" si="141"/>
        <v>0.46000000000003638</v>
      </c>
      <c r="AP148" s="5">
        <f t="shared" si="146"/>
        <v>0</v>
      </c>
      <c r="AQ148" s="5">
        <v>9</v>
      </c>
      <c r="AR148" s="5">
        <v>0.12</v>
      </c>
      <c r="AS148" s="5">
        <v>2280</v>
      </c>
      <c r="AT148" s="5">
        <v>95535</v>
      </c>
      <c r="AU148" s="5">
        <v>60</v>
      </c>
      <c r="AV148" s="5">
        <v>2633</v>
      </c>
      <c r="AW148" s="5">
        <v>222.07</v>
      </c>
      <c r="AX148" s="5">
        <v>2</v>
      </c>
      <c r="AY148" s="199">
        <v>0</v>
      </c>
      <c r="AZ148" s="199">
        <v>0</v>
      </c>
      <c r="BA148" s="5">
        <v>293937.12</v>
      </c>
      <c r="BB148" s="13">
        <v>968157.06</v>
      </c>
      <c r="BC148" s="190">
        <f>MAX(ROUND(IF(F148&lt;4,IF(H148=0,(SUM(Y148:AD148)*Worksheet!$E$26+Y148*Worksheet!$E$27+AR148*Worksheet!$E$39)*-BaseRate,0)),2),MIN(0,-DI148))</f>
        <v>0</v>
      </c>
      <c r="BD148" s="190">
        <f>MAX(ROUND(IF(F148=4,0,IF(I148=0,0,ROUND(SUM(Y148:AD148)*Worksheet!$E$28,2)*-BaseRate)),2),MIN(0,-DI148-BC148))</f>
        <v>-6979.8</v>
      </c>
      <c r="BE148" s="130">
        <f t="shared" si="134"/>
        <v>0</v>
      </c>
      <c r="BF148" s="130">
        <f t="shared" si="135"/>
        <v>1408</v>
      </c>
      <c r="BG148" s="73"/>
      <c r="BH148" s="191">
        <f t="shared" si="136"/>
        <v>44793.34</v>
      </c>
      <c r="BI148" s="191">
        <f t="shared" si="137"/>
        <v>9646</v>
      </c>
      <c r="BJ148" s="232">
        <f>IFERROR(ROUND(IF(AND(BB148*1.12&lt;N148*60/1000,N148/CL148&lt;STVPP*0.2),(CL148*STVPP*0.2*Worksheet!$F$88/1000-BB148*1.12)*PropTaxAdj,IF(BB148*1.12&lt;N148*60/1000,(N148*60/1000-BB148*1.12)*PropTaxAdj,0)),2),0)</f>
        <v>0</v>
      </c>
      <c r="BK148" s="192">
        <f>ROUND(IF($F148=4,0,Y148*Worksheet!$E$16),2)</f>
        <v>1.23</v>
      </c>
      <c r="BL148" s="192">
        <f>ROUND(IF($F148=4,0,Z148*Worksheet!$E$17),2)</f>
        <v>33</v>
      </c>
      <c r="BM148" s="192">
        <f>ROUND(IF($F148=4,0,AA148*Worksheet!$E$18),2)</f>
        <v>129</v>
      </c>
      <c r="BN148" s="192">
        <f>ROUND(IF($F148=4,0,AB148*Worksheet!$E$19),2)</f>
        <v>51</v>
      </c>
      <c r="BO148" s="192">
        <f>ROUND(IF($F148=4,0,AC148*Worksheet!$E$20),2)</f>
        <v>84</v>
      </c>
      <c r="BP148" s="192">
        <f>ROUND(AD148*Worksheet!$E$21,2)</f>
        <v>0</v>
      </c>
      <c r="BQ148" s="192">
        <f t="shared" si="105"/>
        <v>298.23</v>
      </c>
      <c r="BR148" s="192">
        <f>ROUND(AD148*Worksheet!$E$25,2)</f>
        <v>0</v>
      </c>
      <c r="BS148" s="192">
        <f>ROUND(SUM(BQ148)*Worksheet!$E$26,2)</f>
        <v>26.24</v>
      </c>
      <c r="BT148" s="192">
        <f>ROUND(Y148*Worksheet!$E$27,2)</f>
        <v>0.21</v>
      </c>
      <c r="BU148" s="192">
        <f>ROUND(AO148*Worksheet!$E$29,2)</f>
        <v>0.46</v>
      </c>
      <c r="BV148" s="192">
        <f>ROUND(AP148*Worksheet!$E$30,2)</f>
        <v>0</v>
      </c>
      <c r="BW148" s="192">
        <f>ROUND(IF($I148&lt;&gt;0,$BQ148*Worksheet!$E$28,0),2)</f>
        <v>0.6</v>
      </c>
      <c r="BX148" s="192">
        <f>ROUND(AE148*Worksheet!$E$31,2)</f>
        <v>0</v>
      </c>
      <c r="BY148" s="192">
        <f>ROUND(AF148*Worksheet!$E$32,2)</f>
        <v>0</v>
      </c>
      <c r="BZ148" s="192">
        <f>ROUND(AG148*Worksheet!$E$33,2)</f>
        <v>0</v>
      </c>
      <c r="CA148" s="192">
        <f>ROUND(ROUND(AH148*BQ148,2)*Worksheet!$E$34,2)</f>
        <v>1.1000000000000001</v>
      </c>
      <c r="CB148" s="192">
        <f>ROUND(AI148*Worksheet!$E$35,2)</f>
        <v>0</v>
      </c>
      <c r="CC148" s="192">
        <f>ROUND(AJ148*Worksheet!$E$36,2)</f>
        <v>0</v>
      </c>
      <c r="CD148" s="192">
        <f>ROUND(AQ148*Worksheet!$E$38,2)</f>
        <v>5.4</v>
      </c>
      <c r="CE148" s="192">
        <f>ROUND(AR148*Worksheet!$E$39,2)</f>
        <v>0.12</v>
      </c>
      <c r="CF148" s="192">
        <f>IF(AND(L148&gt;275,SUM(Y148:AD148)&lt;100),ROUND(SUM(Y148:AD148)*Worksheet!$E$41,2),0)</f>
        <v>0</v>
      </c>
      <c r="CG148" s="192">
        <f>IF(AND(L148&gt;600,SUM(Y148:AD148)&lt;50),ROUND((50-SUM(Y148:AD148))*(Worksheet!$E$41+1),2),0)</f>
        <v>0</v>
      </c>
      <c r="CH148" s="192">
        <f t="shared" si="106"/>
        <v>332.36</v>
      </c>
      <c r="CI148" s="116">
        <f t="shared" si="142"/>
        <v>0</v>
      </c>
      <c r="CJ148" s="116">
        <f t="shared" si="143"/>
        <v>332.36</v>
      </c>
      <c r="CK148" s="95">
        <f t="shared" si="138"/>
        <v>1.1299999999999999</v>
      </c>
      <c r="CL148" s="116">
        <f t="shared" si="144"/>
        <v>375.57</v>
      </c>
      <c r="CM148" s="116">
        <f t="shared" si="145"/>
        <v>375.57</v>
      </c>
      <c r="CN148" s="116">
        <f t="shared" si="139"/>
        <v>4369005.8099999996</v>
      </c>
      <c r="CO148" s="131">
        <f>ROUND(IF(F148=4,0,(MAX(ROUND(MAX((BI148*MIN(CL148,K148)*Worksheet!$D$126)+MAX(CL148-K148,0)*Worksheet!$F$50,SUM(J148)),2),SUM(CN148))-SUM(CN148))*MinAdj),2)</f>
        <v>0</v>
      </c>
      <c r="CP148" s="192">
        <f t="shared" si="140"/>
        <v>4369005.8099999996</v>
      </c>
      <c r="CQ148" s="131">
        <f>IF(CL148=0,0,-MIN(CP148,MIN(CP148,ROUND(IF(ROUND(IF(CL148=0,0,N148/CL148),2)&lt;STVPP*0.2,STVPP*0.2*CL148*Worksheet!$F$88/1000,N148*Worksheet!$F$88/1000),2))))</f>
        <v>-1009382.04</v>
      </c>
      <c r="CR148" s="193">
        <f>-MIN(SUM(CP148,CQ148),IF($P148=0,(ROUND(Worksheet!$E$77*S148,2)+ROUND(Worksheet!$E$78*T148,2)+ROUND(Worksheet!$E$79*U148,2)+ROUND(Worksheet!$E$80*V148,2)+ROUND(Worksheet!$E$81*W148,2)+ROUND(Worksheet!$E$82*X148,2)),(ROUND(ROUND(S148*ROUND((1-$O148/$P148),4),2)*Worksheet!$E$77,2)+ROUND(ROUND(T148*ROUND((1-$O148/$P148),4),2)*Worksheet!$E$78,2)+ROUND(ROUND(U148*ROUND((1-$O148/$P148),4),2)*Worksheet!$E$79,2)+ROUND(ROUND(V148*ROUND((1-$O148/$P148),4),2)*Worksheet!$E$80,2)+ROUND(ROUND(W148*ROUND((1-$O148/$P148),4),2)*Worksheet!$E$81,2)+ROUND(ROUND(X148*ROUND((1-$O148/$P148),4),2)*Worksheet!$E$82,2))))</f>
        <v>-18746.099999999999</v>
      </c>
      <c r="CS148" s="192">
        <f t="shared" si="107"/>
        <v>3340877.6699999995</v>
      </c>
      <c r="CT148" s="116">
        <f>ROUND(MIN(BA148,ROUND((ROUND(AS148*Worksheet!$E$104,2)+ROUND(AV148*Worksheet!$E$107,2)+ROUND(AT148*Worksheet!$E$105,2)+ROUND(AW148*Worksheet!$E$108,2)+ROUND(AU148*Worksheet!$E$106,2)+ROUND(AX148*Worksheet!$E$109,2)+ROUND(AY148*Worksheet!$E$110,2)+ROUND(AZ148*Worksheet!$E$111,2))*Worksheet!$D$114,2))*BaseRate,2)</f>
        <v>147739.1</v>
      </c>
      <c r="CU148" s="121">
        <v>0</v>
      </c>
      <c r="CV148" s="121">
        <v>0</v>
      </c>
      <c r="CW148" s="121">
        <v>0</v>
      </c>
      <c r="CX148" s="121">
        <v>0</v>
      </c>
      <c r="CY148" s="121">
        <v>0</v>
      </c>
      <c r="DA148" s="192">
        <f t="shared" si="108"/>
        <v>0</v>
      </c>
      <c r="DB148" s="192">
        <f>MAX(-CT148,MIN(0,ROUND($R148*EFBPercent+EFBAdd,2)-$Q148),MIN(0,SUM($CS148:CS148)+MIN(0,ROUND($R148*EFBPercent+EFBAdd,2)-$Q148)))</f>
        <v>0</v>
      </c>
      <c r="DC148" s="192">
        <f>IF(CU148&lt;0,0,MAX(-CU148,MIN(0,ROUND($R148*EFBPercent+EFBAdd,2)-$Q148),MIN(0,SUM($CS148:CT148)+MIN(0,ROUND($R148*EFBPercent+EFBAdd,2)-$Q148))))</f>
        <v>0</v>
      </c>
      <c r="DD148" s="192">
        <f>IF(CV148&lt;0,0,MAX(-CV148,MIN(0,ROUND($R148*EFBPercent+EFBAdd,2)-$Q148),MIN(0,SUM($CS148:CU148)+MIN(0,ROUND($R148*EFBPercent+EFBAdd,2)-$Q148))))</f>
        <v>0</v>
      </c>
      <c r="DE148" s="192">
        <f>IF(CW148&lt;0,0,MAX(-CW148,MIN(0,ROUND($R148*EFBPercent+EFBAdd,2)-$Q148),MIN(0,SUM($CS148:CV148)+MIN(0,ROUND($R148*EFBPercent+EFBAdd,2)-$Q148))))</f>
        <v>0</v>
      </c>
      <c r="DF148" s="192">
        <f>IF(CX148&lt;0,0,MAX(-CX148,MIN(0,ROUND($R148*EFBPercent+EFBAdd,2)-$Q148),MIN(0,SUM($CS148:CW148)+MIN(0,ROUND($R148*EFBPercent+EFBAdd,2)-$Q148))))</f>
        <v>0</v>
      </c>
      <c r="DG148" s="192">
        <f>MAX(-CY148,MIN(0,ROUND($R148*EFBPercent+EFBAdd,2)-$Q148),MIN(0,SUM($CS148:CX148)+MIN(0,ROUND($R148*EFBPercent+EFBAdd,2)-$Q148)))</f>
        <v>0</v>
      </c>
      <c r="DI148" s="73">
        <f t="shared" si="109"/>
        <v>3340877.6699999995</v>
      </c>
      <c r="DJ148" s="73">
        <f t="shared" si="110"/>
        <v>147739.1</v>
      </c>
      <c r="DK148" s="73">
        <f t="shared" si="111"/>
        <v>0</v>
      </c>
      <c r="DL148" s="73">
        <f t="shared" si="112"/>
        <v>0</v>
      </c>
      <c r="DM148" s="73">
        <f t="shared" si="113"/>
        <v>0</v>
      </c>
      <c r="DN148" s="73">
        <f t="shared" si="114"/>
        <v>0</v>
      </c>
      <c r="DO148" s="73">
        <f t="shared" si="115"/>
        <v>0</v>
      </c>
      <c r="DP148" s="73"/>
      <c r="DQ148" s="73"/>
    </row>
    <row r="149" spans="1:121" ht="10.199999999999999" x14ac:dyDescent="0.2">
      <c r="A149" s="4" t="s">
        <v>676</v>
      </c>
      <c r="B149" s="188">
        <v>2525</v>
      </c>
      <c r="C149" s="189" t="s">
        <v>194</v>
      </c>
      <c r="D149" s="4">
        <v>2027</v>
      </c>
      <c r="E149" s="4" t="s">
        <v>1043</v>
      </c>
      <c r="F149" s="4">
        <v>7</v>
      </c>
      <c r="G149" s="4" t="s">
        <v>676</v>
      </c>
      <c r="H149" s="4">
        <v>0</v>
      </c>
      <c r="I149" s="4">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f t="shared" si="141"/>
        <v>0</v>
      </c>
      <c r="AP149" s="5">
        <v>0</v>
      </c>
      <c r="AQ149" s="5">
        <v>0</v>
      </c>
      <c r="AR149" s="5">
        <v>0</v>
      </c>
      <c r="AS149" s="5">
        <v>91544</v>
      </c>
      <c r="AT149" s="5">
        <v>0</v>
      </c>
      <c r="AU149" s="5">
        <v>2788</v>
      </c>
      <c r="AV149" s="5">
        <v>0</v>
      </c>
      <c r="AW149" s="5">
        <v>0</v>
      </c>
      <c r="AX149" s="5">
        <v>0</v>
      </c>
      <c r="AY149" s="199">
        <v>1980</v>
      </c>
      <c r="AZ149" s="199">
        <v>0</v>
      </c>
      <c r="BA149" s="5">
        <v>69662.34</v>
      </c>
      <c r="BB149" s="13">
        <v>0</v>
      </c>
      <c r="BC149" s="190">
        <f>MAX(ROUND(IF(F149&lt;4,IF(H149=0,(SUM(Y149:AD149)*Worksheet!$E$26+Y149*Worksheet!$E$27+AR149*Worksheet!$E$39)*-BaseRate,0)),2),MIN(0,-DI149))</f>
        <v>0</v>
      </c>
      <c r="BD149" s="190">
        <f>MAX(ROUND(IF(F149=4,0,IF(I149=0,0,ROUND(SUM(Y149:AD149)*Worksheet!$E$28,2)*-BaseRate)),2),MIN(0,-DI149-BC149))</f>
        <v>0</v>
      </c>
      <c r="BE149" s="130">
        <f t="shared" si="134"/>
        <v>0</v>
      </c>
      <c r="BF149" s="130">
        <f t="shared" si="135"/>
        <v>0</v>
      </c>
      <c r="BG149" s="73"/>
      <c r="BH149" s="191">
        <f t="shared" si="136"/>
        <v>0</v>
      </c>
      <c r="BI149" s="191">
        <f t="shared" si="137"/>
        <v>0</v>
      </c>
      <c r="BJ149" s="232">
        <f>IFERROR(ROUND(IF(AND(BB149*1.12&lt;N149*60/1000,N149/CL149&lt;STVPP*0.2),(CL149*STVPP*0.2*Worksheet!$F$88/1000-BB149*1.12)*PropTaxAdj,IF(BB149*1.12&lt;N149*60/1000,(N149*60/1000-BB149*1.12)*PropTaxAdj,0)),2),0)</f>
        <v>0</v>
      </c>
      <c r="BK149" s="192">
        <f>ROUND(IF($F149=4,0,Y149*Worksheet!$E$16),2)</f>
        <v>0</v>
      </c>
      <c r="BL149" s="192">
        <f>ROUND(IF($F149=4,0,Z149*Worksheet!$E$17),2)</f>
        <v>0</v>
      </c>
      <c r="BM149" s="192">
        <f>ROUND(IF($F149=4,0,AA149*Worksheet!$E$18),2)</f>
        <v>0</v>
      </c>
      <c r="BN149" s="192">
        <f>ROUND(IF($F149=4,0,AB149*Worksheet!$E$19),2)</f>
        <v>0</v>
      </c>
      <c r="BO149" s="192">
        <f>ROUND(IF($F149=4,0,AC149*Worksheet!$E$20),2)</f>
        <v>0</v>
      </c>
      <c r="BP149" s="192">
        <f>ROUND(AD149*Worksheet!$E$21,2)</f>
        <v>0</v>
      </c>
      <c r="BQ149" s="192">
        <f t="shared" si="105"/>
        <v>0</v>
      </c>
      <c r="BR149" s="192">
        <f>ROUND(AD149*Worksheet!$E$25,2)</f>
        <v>0</v>
      </c>
      <c r="BS149" s="192">
        <f>ROUND(SUM(BQ149)*Worksheet!$E$26,2)</f>
        <v>0</v>
      </c>
      <c r="BT149" s="192">
        <f>ROUND(Y149*Worksheet!$E$27,2)</f>
        <v>0</v>
      </c>
      <c r="BU149" s="192">
        <f>ROUND(AO149*Worksheet!$E$29,2)</f>
        <v>0</v>
      </c>
      <c r="BV149" s="192">
        <f>ROUND(AP149*Worksheet!$E$30,2)</f>
        <v>0</v>
      </c>
      <c r="BW149" s="192">
        <f>ROUND(IF($I149&lt;&gt;0,$BQ149*Worksheet!$E$28,0),2)</f>
        <v>0</v>
      </c>
      <c r="BX149" s="192">
        <f>ROUND(AE149*Worksheet!$E$31,2)</f>
        <v>0</v>
      </c>
      <c r="BY149" s="192">
        <f>ROUND(AF149*Worksheet!$E$32,2)</f>
        <v>0</v>
      </c>
      <c r="BZ149" s="192">
        <f>ROUND(AG149*Worksheet!$E$33,2)</f>
        <v>0</v>
      </c>
      <c r="CA149" s="192">
        <f>ROUND(ROUND(AH149*BQ149,2)*Worksheet!$E$34,2)</f>
        <v>0</v>
      </c>
      <c r="CB149" s="192">
        <f>ROUND(AI149*Worksheet!$E$35,2)</f>
        <v>0</v>
      </c>
      <c r="CC149" s="192">
        <f>ROUND(AJ149*Worksheet!$E$36,2)</f>
        <v>0</v>
      </c>
      <c r="CD149" s="192">
        <f>ROUND(AQ149*Worksheet!$E$38,2)</f>
        <v>0</v>
      </c>
      <c r="CE149" s="192">
        <f>ROUND(AR149*Worksheet!$E$39,2)</f>
        <v>0</v>
      </c>
      <c r="CF149" s="192">
        <f>IF(AND(L149&gt;275,SUM(Y149:AD149)&lt;100),ROUND(SUM(Y149:AD149)*Worksheet!$E$41,2),0)</f>
        <v>0</v>
      </c>
      <c r="CG149" s="192">
        <f>IF(AND(L149&gt;600,SUM(Y149:AD149)&lt;50),ROUND((50-SUM(Y149:AD149))*(Worksheet!$E$41+1),2),0)</f>
        <v>0</v>
      </c>
      <c r="CH149" s="192">
        <f t="shared" si="106"/>
        <v>0</v>
      </c>
      <c r="CI149" s="116">
        <f t="shared" si="142"/>
        <v>0</v>
      </c>
      <c r="CJ149" s="116">
        <f t="shared" si="143"/>
        <v>0</v>
      </c>
      <c r="CK149" s="95">
        <f t="shared" si="138"/>
        <v>0</v>
      </c>
      <c r="CL149" s="116">
        <f t="shared" si="144"/>
        <v>0</v>
      </c>
      <c r="CM149" s="116">
        <f t="shared" si="145"/>
        <v>0</v>
      </c>
      <c r="CN149" s="116">
        <f t="shared" si="139"/>
        <v>0</v>
      </c>
      <c r="CO149" s="131">
        <f>ROUND(IF(F149=4,0,(MAX(ROUND(MAX((BI149*MIN(CL149,K149)*Worksheet!$D$126)+MAX(CL149-K149,0)*Worksheet!$F$50,SUM(J149)),2),SUM(CN149))-SUM(CN149))*MinAdj),2)</f>
        <v>0</v>
      </c>
      <c r="CP149" s="192">
        <f t="shared" si="140"/>
        <v>0</v>
      </c>
      <c r="CQ149" s="131">
        <f>IF(CL149=0,0,-MIN(CP149,MIN(CP149,ROUND(IF(ROUND(IF(CL149=0,0,N149/CL149),2)&lt;STVPP*0.2,STVPP*0.2*CL149*Worksheet!$F$88/1000,N149*Worksheet!$F$88/1000),2))))</f>
        <v>0</v>
      </c>
      <c r="CR149" s="193">
        <f>-MIN(SUM(CP149,CQ149),IF($P149=0,(ROUND(Worksheet!$E$77*S149,2)+ROUND(Worksheet!$E$78*T149,2)+ROUND(Worksheet!$E$79*U149,2)+ROUND(Worksheet!$E$80*V149,2)+ROUND(Worksheet!$E$81*W149,2)+ROUND(Worksheet!$E$82*X149,2)),(ROUND(ROUND(S149*ROUND((1-$O149/$P149),4),2)*Worksheet!$E$77,2)+ROUND(ROUND(T149*ROUND((1-$O149/$P149),4),2)*Worksheet!$E$78,2)+ROUND(ROUND(U149*ROUND((1-$O149/$P149),4),2)*Worksheet!$E$79,2)+ROUND(ROUND(V149*ROUND((1-$O149/$P149),4),2)*Worksheet!$E$80,2)+ROUND(ROUND(W149*ROUND((1-$O149/$P149),4),2)*Worksheet!$E$81,2)+ROUND(ROUND(X149*ROUND((1-$O149/$P149),4),2)*Worksheet!$E$82,2))))</f>
        <v>0</v>
      </c>
      <c r="CS149" s="192">
        <f t="shared" si="107"/>
        <v>0</v>
      </c>
      <c r="CT149" s="116">
        <f>ROUND(MIN(BA149,ROUND((ROUND(AS149*Worksheet!$E$104,2)+ROUND(AV149*Worksheet!$E$107,2)+ROUND(AT149*Worksheet!$E$105,2)+ROUND(AW149*Worksheet!$E$108,2)+ROUND(AU149*Worksheet!$E$106,2)+ROUND(AX149*Worksheet!$E$109,2)+ROUND(AY149*Worksheet!$E$110,2)+ROUND(AZ149*Worksheet!$E$111,2))*Worksheet!$D$114,2))*BaseRate,2)</f>
        <v>64679.48</v>
      </c>
      <c r="CU149" s="121">
        <v>0</v>
      </c>
      <c r="CV149" s="121">
        <v>65.13</v>
      </c>
      <c r="CW149" s="121">
        <v>0</v>
      </c>
      <c r="CX149" s="121">
        <v>0</v>
      </c>
      <c r="CY149" s="121">
        <v>0</v>
      </c>
      <c r="DA149" s="192">
        <f t="shared" si="108"/>
        <v>0</v>
      </c>
      <c r="DB149" s="192">
        <f>MAX(-CT149,MIN(0,ROUND($R149*EFBPercent+EFBAdd,2)-$Q149),MIN(0,SUM($CS149:CS149)+MIN(0,ROUND($R149*EFBPercent+EFBAdd,2)-$Q149)))</f>
        <v>0</v>
      </c>
      <c r="DC149" s="192">
        <f>IF(CU149&lt;0,0,MAX(-CU149,MIN(0,ROUND($R149*EFBPercent+EFBAdd,2)-$Q149),MIN(0,SUM($CS149:CT149)+MIN(0,ROUND($R149*EFBPercent+EFBAdd,2)-$Q149))))</f>
        <v>0</v>
      </c>
      <c r="DD149" s="192">
        <f>IF(CV149&lt;0,0,MAX(-CV149,MIN(0,ROUND($R149*EFBPercent+EFBAdd,2)-$Q149),MIN(0,SUM($CS149:CU149)+MIN(0,ROUND($R149*EFBPercent+EFBAdd,2)-$Q149))))</f>
        <v>0</v>
      </c>
      <c r="DE149" s="192">
        <f>IF(CW149&lt;0,0,MAX(-CW149,MIN(0,ROUND($R149*EFBPercent+EFBAdd,2)-$Q149),MIN(0,SUM($CS149:CV149)+MIN(0,ROUND($R149*EFBPercent+EFBAdd,2)-$Q149))))</f>
        <v>0</v>
      </c>
      <c r="DF149" s="192">
        <f>IF(CX149&lt;0,0,MAX(-CX149,MIN(0,ROUND($R149*EFBPercent+EFBAdd,2)-$Q149),MIN(0,SUM($CS149:CW149)+MIN(0,ROUND($R149*EFBPercent+EFBAdd,2)-$Q149))))</f>
        <v>0</v>
      </c>
      <c r="DG149" s="192">
        <f>MAX(-CY149,MIN(0,ROUND($R149*EFBPercent+EFBAdd,2)-$Q149),MIN(0,SUM($CS149:CX149)+MIN(0,ROUND($R149*EFBPercent+EFBAdd,2)-$Q149)))</f>
        <v>0</v>
      </c>
      <c r="DI149" s="73">
        <f t="shared" si="109"/>
        <v>0</v>
      </c>
      <c r="DJ149" s="73">
        <f t="shared" si="110"/>
        <v>64679.48</v>
      </c>
      <c r="DK149" s="73">
        <f t="shared" si="111"/>
        <v>0</v>
      </c>
      <c r="DL149" s="73">
        <f t="shared" si="112"/>
        <v>65.13</v>
      </c>
      <c r="DM149" s="73">
        <f t="shared" si="113"/>
        <v>0</v>
      </c>
      <c r="DN149" s="73">
        <f t="shared" si="114"/>
        <v>0</v>
      </c>
      <c r="DO149" s="73">
        <f t="shared" si="115"/>
        <v>0</v>
      </c>
      <c r="DP149" s="73"/>
      <c r="DQ149" s="73"/>
    </row>
    <row r="150" spans="1:121" ht="10.199999999999999" x14ac:dyDescent="0.2">
      <c r="A150" s="4" t="s">
        <v>677</v>
      </c>
      <c r="B150" s="188">
        <v>2530</v>
      </c>
      <c r="C150" s="189" t="s">
        <v>195</v>
      </c>
      <c r="D150" s="4">
        <v>2027</v>
      </c>
      <c r="E150" s="4" t="s">
        <v>1044</v>
      </c>
      <c r="F150" s="4">
        <v>7</v>
      </c>
      <c r="G150" s="4" t="s">
        <v>677</v>
      </c>
      <c r="H150" s="4">
        <v>0</v>
      </c>
      <c r="I150" s="4">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f t="shared" si="141"/>
        <v>0</v>
      </c>
      <c r="AP150" s="5">
        <v>0</v>
      </c>
      <c r="AQ150" s="5">
        <v>0</v>
      </c>
      <c r="AR150" s="5">
        <v>0</v>
      </c>
      <c r="AS150" s="5">
        <v>0</v>
      </c>
      <c r="AT150" s="5">
        <v>0</v>
      </c>
      <c r="AU150" s="5">
        <v>0</v>
      </c>
      <c r="AV150" s="5">
        <v>0</v>
      </c>
      <c r="AW150" s="5">
        <v>0</v>
      </c>
      <c r="AX150" s="5">
        <v>0</v>
      </c>
      <c r="AY150" s="199">
        <v>0</v>
      </c>
      <c r="AZ150" s="199">
        <v>0</v>
      </c>
      <c r="BA150" s="5">
        <v>0</v>
      </c>
      <c r="BB150" s="13">
        <v>0</v>
      </c>
      <c r="BC150" s="190">
        <f>MAX(ROUND(IF(F150&lt;4,IF(H150=0,(SUM(Y150:AD150)*Worksheet!$E$26+Y150*Worksheet!$E$27+AR150*Worksheet!$E$39)*-BaseRate,0)),2),MIN(0,-DI150))</f>
        <v>0</v>
      </c>
      <c r="BD150" s="190">
        <f>MAX(ROUND(IF(F150=4,0,IF(I150=0,0,ROUND(SUM(Y150:AD150)*Worksheet!$E$28,2)*-BaseRate)),2),MIN(0,-DI150-BC150))</f>
        <v>0</v>
      </c>
      <c r="BE150" s="130">
        <f t="shared" si="134"/>
        <v>0</v>
      </c>
      <c r="BF150" s="130">
        <f t="shared" si="135"/>
        <v>0</v>
      </c>
      <c r="BG150" s="73"/>
      <c r="BH150" s="191">
        <f t="shared" si="136"/>
        <v>0</v>
      </c>
      <c r="BI150" s="191">
        <f t="shared" si="137"/>
        <v>0</v>
      </c>
      <c r="BJ150" s="232">
        <f>IFERROR(ROUND(IF(AND(BB150*1.12&lt;N150*60/1000,N150/CL150&lt;STVPP*0.2),(CL150*STVPP*0.2*Worksheet!$F$88/1000-BB150*1.12)*PropTaxAdj,IF(BB150*1.12&lt;N150*60/1000,(N150*60/1000-BB150*1.12)*PropTaxAdj,0)),2),0)</f>
        <v>0</v>
      </c>
      <c r="BK150" s="192">
        <f>ROUND(IF($F150=4,0,Y150*Worksheet!$E$16),2)</f>
        <v>0</v>
      </c>
      <c r="BL150" s="192">
        <f>ROUND(IF($F150=4,0,Z150*Worksheet!$E$17),2)</f>
        <v>0</v>
      </c>
      <c r="BM150" s="192">
        <f>ROUND(IF($F150=4,0,AA150*Worksheet!$E$18),2)</f>
        <v>0</v>
      </c>
      <c r="BN150" s="192">
        <f>ROUND(IF($F150=4,0,AB150*Worksheet!$E$19),2)</f>
        <v>0</v>
      </c>
      <c r="BO150" s="192">
        <f>ROUND(IF($F150=4,0,AC150*Worksheet!$E$20),2)</f>
        <v>0</v>
      </c>
      <c r="BP150" s="192">
        <f>ROUND(AD150*Worksheet!$E$21,2)</f>
        <v>0</v>
      </c>
      <c r="BQ150" s="192">
        <f t="shared" si="105"/>
        <v>0</v>
      </c>
      <c r="BR150" s="192">
        <f>ROUND(AD150*Worksheet!$E$25,2)</f>
        <v>0</v>
      </c>
      <c r="BS150" s="192">
        <f>ROUND(SUM(BQ150)*Worksheet!$E$26,2)</f>
        <v>0</v>
      </c>
      <c r="BT150" s="192">
        <f>ROUND(Y150*Worksheet!$E$27,2)</f>
        <v>0</v>
      </c>
      <c r="BU150" s="192">
        <f>ROUND(AO150*Worksheet!$E$29,2)</f>
        <v>0</v>
      </c>
      <c r="BV150" s="192">
        <f>ROUND(AP150*Worksheet!$E$30,2)</f>
        <v>0</v>
      </c>
      <c r="BW150" s="192">
        <f>ROUND(IF($I150&lt;&gt;0,$BQ150*Worksheet!$E$28,0),2)</f>
        <v>0</v>
      </c>
      <c r="BX150" s="192">
        <f>ROUND(AE150*Worksheet!$E$31,2)</f>
        <v>0</v>
      </c>
      <c r="BY150" s="192">
        <f>ROUND(AF150*Worksheet!$E$32,2)</f>
        <v>0</v>
      </c>
      <c r="BZ150" s="192">
        <f>ROUND(AG150*Worksheet!$E$33,2)</f>
        <v>0</v>
      </c>
      <c r="CA150" s="192">
        <f>ROUND(ROUND(AH150*BQ150,2)*Worksheet!$E$34,2)</f>
        <v>0</v>
      </c>
      <c r="CB150" s="192">
        <f>ROUND(AI150*Worksheet!$E$35,2)</f>
        <v>0</v>
      </c>
      <c r="CC150" s="192">
        <f>ROUND(AJ150*Worksheet!$E$36,2)</f>
        <v>0</v>
      </c>
      <c r="CD150" s="192">
        <f>ROUND(AQ150*Worksheet!$E$38,2)</f>
        <v>0</v>
      </c>
      <c r="CE150" s="192">
        <f>ROUND(AR150*Worksheet!$E$39,2)</f>
        <v>0</v>
      </c>
      <c r="CF150" s="192">
        <f>IF(AND(L150&gt;275,SUM(Y150:AD150)&lt;100),ROUND(SUM(Y150:AD150)*Worksheet!$E$41,2),0)</f>
        <v>0</v>
      </c>
      <c r="CG150" s="192">
        <f>IF(AND(L150&gt;600,SUM(Y150:AD150)&lt;50),ROUND((50-SUM(Y150:AD150))*(Worksheet!$E$41+1),2),0)</f>
        <v>0</v>
      </c>
      <c r="CH150" s="192">
        <f t="shared" si="106"/>
        <v>0</v>
      </c>
      <c r="CI150" s="116">
        <f t="shared" si="142"/>
        <v>0</v>
      </c>
      <c r="CJ150" s="116">
        <f t="shared" si="143"/>
        <v>0</v>
      </c>
      <c r="CK150" s="95">
        <f t="shared" si="138"/>
        <v>0</v>
      </c>
      <c r="CL150" s="116">
        <f t="shared" si="144"/>
        <v>0</v>
      </c>
      <c r="CM150" s="116">
        <f t="shared" si="145"/>
        <v>0</v>
      </c>
      <c r="CN150" s="116">
        <f t="shared" si="139"/>
        <v>0</v>
      </c>
      <c r="CO150" s="131">
        <f>ROUND(IF(F150=4,0,(MAX(ROUND(MAX((BI150*MIN(CL150,K150)*Worksheet!$D$126)+MAX(CL150-K150,0)*Worksheet!$F$50,SUM(J150)),2),SUM(CN150))-SUM(CN150))*MinAdj),2)</f>
        <v>0</v>
      </c>
      <c r="CP150" s="192">
        <f t="shared" si="140"/>
        <v>0</v>
      </c>
      <c r="CQ150" s="131">
        <f>IF(CL150=0,0,-MIN(CP150,MIN(CP150,ROUND(IF(ROUND(IF(CL150=0,0,N150/CL150),2)&lt;STVPP*0.2,STVPP*0.2*CL150*Worksheet!$F$88/1000,N150*Worksheet!$F$88/1000),2))))</f>
        <v>0</v>
      </c>
      <c r="CR150" s="193">
        <f>-MIN(SUM(CP150,CQ150),IF($P150=0,(ROUND(Worksheet!$E$77*S150,2)+ROUND(Worksheet!$E$78*T150,2)+ROUND(Worksheet!$E$79*U150,2)+ROUND(Worksheet!$E$80*V150,2)+ROUND(Worksheet!$E$81*W150,2)+ROUND(Worksheet!$E$82*X150,2)),(ROUND(ROUND(S150*ROUND((1-$O150/$P150),4),2)*Worksheet!$E$77,2)+ROUND(ROUND(T150*ROUND((1-$O150/$P150),4),2)*Worksheet!$E$78,2)+ROUND(ROUND(U150*ROUND((1-$O150/$P150),4),2)*Worksheet!$E$79,2)+ROUND(ROUND(V150*ROUND((1-$O150/$P150),4),2)*Worksheet!$E$80,2)+ROUND(ROUND(W150*ROUND((1-$O150/$P150),4),2)*Worksheet!$E$81,2)+ROUND(ROUND(X150*ROUND((1-$O150/$P150),4),2)*Worksheet!$E$82,2))))</f>
        <v>0</v>
      </c>
      <c r="CS150" s="192">
        <f t="shared" si="107"/>
        <v>0</v>
      </c>
      <c r="CT150" s="116">
        <f>ROUND(MIN(BA150,ROUND((ROUND(AS150*Worksheet!$E$104,2)+ROUND(AV150*Worksheet!$E$107,2)+ROUND(AT150*Worksheet!$E$105,2)+ROUND(AW150*Worksheet!$E$108,2)+ROUND(AU150*Worksheet!$E$106,2)+ROUND(AX150*Worksheet!$E$109,2)+ROUND(AY150*Worksheet!$E$110,2)+ROUND(AZ150*Worksheet!$E$111,2))*Worksheet!$D$114,2))*BaseRate,2)</f>
        <v>0</v>
      </c>
      <c r="CU150" s="121">
        <v>0</v>
      </c>
      <c r="CV150" s="121">
        <v>0</v>
      </c>
      <c r="CW150" s="121">
        <v>0</v>
      </c>
      <c r="CX150" s="121">
        <v>0</v>
      </c>
      <c r="CY150" s="121">
        <v>0</v>
      </c>
      <c r="DA150" s="192">
        <f t="shared" si="108"/>
        <v>0</v>
      </c>
      <c r="DB150" s="192">
        <f>MAX(-CT150,MIN(0,ROUND($R150*EFBPercent+EFBAdd,2)-$Q150),MIN(0,SUM($CS150:CS150)+MIN(0,ROUND($R150*EFBPercent+EFBAdd,2)-$Q150)))</f>
        <v>0</v>
      </c>
      <c r="DC150" s="192">
        <f>IF(CU150&lt;0,0,MAX(-CU150,MIN(0,ROUND($R150*EFBPercent+EFBAdd,2)-$Q150),MIN(0,SUM($CS150:CT150)+MIN(0,ROUND($R150*EFBPercent+EFBAdd,2)-$Q150))))</f>
        <v>0</v>
      </c>
      <c r="DD150" s="192">
        <f>IF(CV150&lt;0,0,MAX(-CV150,MIN(0,ROUND($R150*EFBPercent+EFBAdd,2)-$Q150),MIN(0,SUM($CS150:CU150)+MIN(0,ROUND($R150*EFBPercent+EFBAdd,2)-$Q150))))</f>
        <v>0</v>
      </c>
      <c r="DE150" s="192">
        <f>IF(CW150&lt;0,0,MAX(-CW150,MIN(0,ROUND($R150*EFBPercent+EFBAdd,2)-$Q150),MIN(0,SUM($CS150:CV150)+MIN(0,ROUND($R150*EFBPercent+EFBAdd,2)-$Q150))))</f>
        <v>0</v>
      </c>
      <c r="DF150" s="192">
        <f>IF(CX150&lt;0,0,MAX(-CX150,MIN(0,ROUND($R150*EFBPercent+EFBAdd,2)-$Q150),MIN(0,SUM($CS150:CW150)+MIN(0,ROUND($R150*EFBPercent+EFBAdd,2)-$Q150))))</f>
        <v>0</v>
      </c>
      <c r="DG150" s="192">
        <f>MAX(-CY150,MIN(0,ROUND($R150*EFBPercent+EFBAdd,2)-$Q150),MIN(0,SUM($CS150:CX150)+MIN(0,ROUND($R150*EFBPercent+EFBAdd,2)-$Q150)))</f>
        <v>0</v>
      </c>
      <c r="DI150" s="73">
        <f t="shared" si="109"/>
        <v>0</v>
      </c>
      <c r="DJ150" s="73">
        <f t="shared" si="110"/>
        <v>0</v>
      </c>
      <c r="DK150" s="73">
        <f t="shared" si="111"/>
        <v>0</v>
      </c>
      <c r="DL150" s="73">
        <f t="shared" si="112"/>
        <v>0</v>
      </c>
      <c r="DM150" s="73">
        <f t="shared" si="113"/>
        <v>0</v>
      </c>
      <c r="DN150" s="73">
        <f t="shared" si="114"/>
        <v>0</v>
      </c>
      <c r="DO150" s="73">
        <f t="shared" si="115"/>
        <v>0</v>
      </c>
      <c r="DP150" s="73"/>
      <c r="DQ150" s="73"/>
    </row>
    <row r="151" spans="1:121" ht="10.199999999999999" x14ac:dyDescent="0.2">
      <c r="A151" s="4" t="s">
        <v>615</v>
      </c>
      <c r="B151" s="188">
        <v>1030</v>
      </c>
      <c r="C151" s="189" t="s">
        <v>139</v>
      </c>
      <c r="D151" s="4">
        <v>2027</v>
      </c>
      <c r="E151" s="4" t="s">
        <v>452</v>
      </c>
      <c r="F151" s="4">
        <v>1</v>
      </c>
      <c r="G151" s="4" t="s">
        <v>660</v>
      </c>
      <c r="H151" s="4">
        <v>100</v>
      </c>
      <c r="I151" s="4" t="s">
        <v>855</v>
      </c>
      <c r="J151" s="199">
        <v>6490959.1500000004</v>
      </c>
      <c r="K151" s="199">
        <v>852.61</v>
      </c>
      <c r="L151" s="199">
        <v>199</v>
      </c>
      <c r="M151" s="199">
        <v>0</v>
      </c>
      <c r="N151" s="280">
        <v>3421559</v>
      </c>
      <c r="O151" s="199">
        <v>0</v>
      </c>
      <c r="P151" s="199">
        <v>90.03</v>
      </c>
      <c r="Q151" s="199">
        <v>0</v>
      </c>
      <c r="R151" s="199">
        <v>0</v>
      </c>
      <c r="S151" s="5">
        <v>0</v>
      </c>
      <c r="T151" s="5">
        <v>0</v>
      </c>
      <c r="U151" s="5">
        <v>0</v>
      </c>
      <c r="V151" s="5">
        <v>8859.7999999999993</v>
      </c>
      <c r="W151" s="5">
        <v>1217.0800000000002</v>
      </c>
      <c r="X151" s="5">
        <v>13790.02</v>
      </c>
      <c r="Y151" s="5">
        <v>0.46</v>
      </c>
      <c r="Z151" s="5">
        <v>48.17</v>
      </c>
      <c r="AA151" s="5">
        <v>317.85000000000002</v>
      </c>
      <c r="AB151" s="5">
        <v>99.94</v>
      </c>
      <c r="AC151" s="5">
        <v>234</v>
      </c>
      <c r="AD151" s="5">
        <v>0</v>
      </c>
      <c r="AE151" s="5">
        <v>0</v>
      </c>
      <c r="AF151" s="5">
        <v>2</v>
      </c>
      <c r="AG151" s="5">
        <v>5</v>
      </c>
      <c r="AH151" s="5">
        <v>0.94</v>
      </c>
      <c r="AI151" s="5">
        <v>0</v>
      </c>
      <c r="AJ151" s="5">
        <v>0</v>
      </c>
      <c r="AK151" s="5">
        <v>0</v>
      </c>
      <c r="AL151" s="5">
        <v>681.16000000000008</v>
      </c>
      <c r="AM151" s="5">
        <v>0</v>
      </c>
      <c r="AN151" s="5">
        <v>499</v>
      </c>
      <c r="AO151" s="5">
        <f t="shared" si="141"/>
        <v>0</v>
      </c>
      <c r="AP151" s="5">
        <f t="shared" ref="AP151:AP155" si="147">IF(AM151&gt;0,SUM(Z151:AD151)-AN151,0)</f>
        <v>0</v>
      </c>
      <c r="AQ151" s="5">
        <v>17.91</v>
      </c>
      <c r="AR151" s="5">
        <v>0</v>
      </c>
      <c r="AS151" s="5">
        <v>0</v>
      </c>
      <c r="AT151" s="5">
        <v>95300</v>
      </c>
      <c r="AU151" s="5">
        <v>0</v>
      </c>
      <c r="AV151" s="5">
        <v>3320</v>
      </c>
      <c r="AW151" s="199">
        <v>199</v>
      </c>
      <c r="AX151" s="199">
        <v>2</v>
      </c>
      <c r="AY151" s="199">
        <v>5400</v>
      </c>
      <c r="AZ151" s="199">
        <v>0</v>
      </c>
      <c r="BA151" s="5">
        <v>547010.9</v>
      </c>
      <c r="BB151" s="13">
        <v>524721.1</v>
      </c>
      <c r="BC151" s="190">
        <f>MAX(ROUND(IF(F151&lt;4,IF(H151=0,(SUM(Y151:AD151)*Worksheet!$E$26+Y151*Worksheet!$E$27+AR151*Worksheet!$E$39)*-BaseRate,0)),2),MIN(0,-DI151))</f>
        <v>0</v>
      </c>
      <c r="BD151" s="190">
        <f>MAX(ROUND(IF(F151=4,0,IF(I151=0,0,ROUND(SUM(Y151:AD151)*Worksheet!$E$28,2)*-BaseRate)),2),MIN(0,-DI151-BC151))</f>
        <v>-16286.2</v>
      </c>
      <c r="BE151" s="130">
        <f t="shared" si="134"/>
        <v>0</v>
      </c>
      <c r="BF151" s="130">
        <f t="shared" si="135"/>
        <v>1404</v>
      </c>
      <c r="BG151" s="73"/>
      <c r="BH151" s="191">
        <f t="shared" si="136"/>
        <v>9224.7999999999993</v>
      </c>
      <c r="BI151" s="191">
        <f t="shared" si="137"/>
        <v>7613.05</v>
      </c>
      <c r="BJ151" s="232">
        <f>IFERROR(ROUND(IF(AND(BB151*1.12&lt;N151*60/1000,N151/CL151&lt;STVPP*0.2),(CL151*STVPP*0.2*Worksheet!$F$88/1000-BB151*1.12)*PropTaxAdj,IF(BB151*1.12&lt;N151*60/1000,(N151*60/1000-BB151*1.12)*PropTaxAdj,0)),2),0)</f>
        <v>0</v>
      </c>
      <c r="BK151" s="192">
        <f>ROUND(IF($F151=4,0,Y151*Worksheet!$E$16),2)</f>
        <v>0.46</v>
      </c>
      <c r="BL151" s="192">
        <f>ROUND(IF($F151=4,0,Z151*Worksheet!$E$17),2)</f>
        <v>48.17</v>
      </c>
      <c r="BM151" s="192">
        <f>ROUND(IF($F151=4,0,AA151*Worksheet!$E$18),2)</f>
        <v>317.85000000000002</v>
      </c>
      <c r="BN151" s="192">
        <f>ROUND(IF($F151=4,0,AB151*Worksheet!$E$19),2)</f>
        <v>99.94</v>
      </c>
      <c r="BO151" s="192">
        <f>ROUND(IF($F151=4,0,AC151*Worksheet!$E$20),2)</f>
        <v>234</v>
      </c>
      <c r="BP151" s="192">
        <f>ROUND(AD151*Worksheet!$E$21,2)</f>
        <v>0</v>
      </c>
      <c r="BQ151" s="192">
        <f t="shared" si="105"/>
        <v>700.42000000000007</v>
      </c>
      <c r="BR151" s="192">
        <f>ROUND(AD151*Worksheet!$E$25,2)</f>
        <v>0</v>
      </c>
      <c r="BS151" s="192">
        <f>ROUND(SUM(BQ151)*Worksheet!$E$26,2)</f>
        <v>61.64</v>
      </c>
      <c r="BT151" s="192">
        <f>ROUND(Y151*Worksheet!$E$27,2)</f>
        <v>0.08</v>
      </c>
      <c r="BU151" s="192">
        <f>ROUND(AO151*Worksheet!$E$29,2)</f>
        <v>0</v>
      </c>
      <c r="BV151" s="192">
        <f>ROUND(AP151*Worksheet!$E$30,2)</f>
        <v>0</v>
      </c>
      <c r="BW151" s="192">
        <f>ROUND(IF($I151&lt;&gt;0,$BQ151*Worksheet!$E$28,0),2)</f>
        <v>1.4</v>
      </c>
      <c r="BX151" s="192">
        <f>ROUND(AE151*Worksheet!$E$31,2)</f>
        <v>0</v>
      </c>
      <c r="BY151" s="192">
        <f>ROUND(AF151*Worksheet!$E$32,2)</f>
        <v>0.56000000000000005</v>
      </c>
      <c r="BZ151" s="192">
        <f>ROUND(AG151*Worksheet!$E$33,2)</f>
        <v>0.35</v>
      </c>
      <c r="CA151" s="192">
        <f>ROUND(ROUND(AH151*BQ151,2)*Worksheet!$E$34,2)</f>
        <v>16.46</v>
      </c>
      <c r="CB151" s="192">
        <f>ROUND(AI151*Worksheet!$E$35,2)</f>
        <v>0</v>
      </c>
      <c r="CC151" s="192">
        <f>ROUND(AJ151*Worksheet!$E$36,2)</f>
        <v>0</v>
      </c>
      <c r="CD151" s="192">
        <f>ROUND(AQ151*Worksheet!$E$38,2)</f>
        <v>10.75</v>
      </c>
      <c r="CE151" s="192">
        <f>ROUND(AR151*Worksheet!$E$39,2)</f>
        <v>0</v>
      </c>
      <c r="CF151" s="192">
        <f>IF(AND(L151&gt;275,SUM(Y151:AD151)&lt;100),ROUND(SUM(Y151:AD151)*Worksheet!$E$41,2),0)</f>
        <v>0</v>
      </c>
      <c r="CG151" s="192">
        <f>IF(AND(L151&gt;600,SUM(Y151:AD151)&lt;50),ROUND((50-SUM(Y151:AD151))*(Worksheet!$E$41+1),2),0)</f>
        <v>0</v>
      </c>
      <c r="CH151" s="192">
        <f t="shared" si="106"/>
        <v>791.66000000000008</v>
      </c>
      <c r="CI151" s="192">
        <f t="shared" si="142"/>
        <v>0</v>
      </c>
      <c r="CJ151" s="192">
        <f t="shared" si="143"/>
        <v>791.66000000000008</v>
      </c>
      <c r="CK151" s="242">
        <f t="shared" si="138"/>
        <v>1.01</v>
      </c>
      <c r="CL151" s="192">
        <f t="shared" si="144"/>
        <v>799.58</v>
      </c>
      <c r="CM151" s="192">
        <f t="shared" si="145"/>
        <v>799.58</v>
      </c>
      <c r="CN151" s="192">
        <f t="shared" si="139"/>
        <v>9301514.1400000006</v>
      </c>
      <c r="CO151" s="193">
        <f>ROUND(IF(F151=4,0,(MAX(ROUND(MAX((BI151*MIN(CL151,K151)*Worksheet!$D$126)+MAX(CL151-K151,0)*Worksheet!$F$50,SUM(J151)),2),SUM(CN151))-SUM(CN151))*MinAdj),2)</f>
        <v>0</v>
      </c>
      <c r="CP151" s="192">
        <f t="shared" si="140"/>
        <v>9301514.1400000006</v>
      </c>
      <c r="CQ151" s="193">
        <f>IF(CL151=0,0,-MIN(CP151,MIN(CP151,ROUND(IF(ROUND(IF(CL151=0,0,N151/CL151),2)&lt;STVPP*0.2,STVPP*0.2*CL151*Worksheet!$F$88/1000,N151*Worksheet!$F$88/1000),2))))</f>
        <v>-442557.94</v>
      </c>
      <c r="CR151" s="193">
        <f>-MIN(SUM(CP151,CQ151),IF($P151=0,(ROUND(Worksheet!$E$77*S151,2)+ROUND(Worksheet!$E$78*T151,2)+ROUND(Worksheet!$E$79*U151,2)+ROUND(Worksheet!$E$80*V151,2)+ROUND(Worksheet!$E$81*W151,2)+ROUND(Worksheet!$E$82*X151,2)),(ROUND(ROUND(S151*ROUND((1-$O151/$P151),4),2)*Worksheet!$E$77,2)+ROUND(ROUND(T151*ROUND((1-$O151/$P151),4),2)*Worksheet!$E$78,2)+ROUND(ROUND(U151*ROUND((1-$O151/$P151),4),2)*Worksheet!$E$79,2)+ROUND(ROUND(V151*ROUND((1-$O151/$P151),4),2)*Worksheet!$E$80,2)+ROUND(ROUND(W151*ROUND((1-$O151/$P151),4),2)*Worksheet!$E$81,2)+ROUND(ROUND(X151*ROUND((1-$O151/$P151),4),2)*Worksheet!$E$82,2))))</f>
        <v>-17900.18</v>
      </c>
      <c r="CS151" s="192">
        <f t="shared" si="107"/>
        <v>8841056.0200000014</v>
      </c>
      <c r="CT151" s="192">
        <f>ROUND(MIN(BA151,ROUND((ROUND(AS151*Worksheet!$E$104,2)+ROUND(AV151*Worksheet!$E$107,2)+ROUND(AT151*Worksheet!$E$105,2)+ROUND(AW151*Worksheet!$E$108,2)+ROUND(AU151*Worksheet!$E$106,2)+ROUND(AX151*Worksheet!$E$109,2)+ROUND(AY151*Worksheet!$E$110,2)+ROUND(AZ151*Worksheet!$E$111,2))*Worksheet!$D$114,2))*BaseRate,2)</f>
        <v>154369.91</v>
      </c>
      <c r="CU151" s="261">
        <v>0</v>
      </c>
      <c r="CV151" s="261">
        <v>0</v>
      </c>
      <c r="CW151" s="261">
        <v>0</v>
      </c>
      <c r="CX151" s="261">
        <v>0</v>
      </c>
      <c r="CY151" s="261">
        <v>0</v>
      </c>
      <c r="DA151" s="192">
        <f t="shared" si="108"/>
        <v>0</v>
      </c>
      <c r="DB151" s="192">
        <f>MAX(-CT151,MIN(0,ROUND($R151*EFBPercent+EFBAdd,2)-$Q151),MIN(0,SUM($CS151:CS151)+MIN(0,ROUND($R151*EFBPercent+EFBAdd,2)-$Q151)))</f>
        <v>0</v>
      </c>
      <c r="DC151" s="192">
        <f>IF(CU151&lt;0,0,MAX(-CU151,MIN(0,ROUND($R151*EFBPercent+EFBAdd,2)-$Q151),MIN(0,SUM($CS151:CT151)+MIN(0,ROUND($R151*EFBPercent+EFBAdd,2)-$Q151))))</f>
        <v>0</v>
      </c>
      <c r="DD151" s="192">
        <f>IF(CV151&lt;0,0,MAX(-CV151,MIN(0,ROUND($R151*EFBPercent+EFBAdd,2)-$Q151),MIN(0,SUM($CS151:CU151)+MIN(0,ROUND($R151*EFBPercent+EFBAdd,2)-$Q151))))</f>
        <v>0</v>
      </c>
      <c r="DE151" s="192">
        <f>IF(CW151&lt;0,0,MAX(-CW151,MIN(0,ROUND($R151*EFBPercent+EFBAdd,2)-$Q151),MIN(0,SUM($CS151:CV151)+MIN(0,ROUND($R151*EFBPercent+EFBAdd,2)-$Q151))))</f>
        <v>0</v>
      </c>
      <c r="DF151" s="192">
        <f>IF(CX151&lt;0,0,MAX(-CX151,MIN(0,ROUND($R151*EFBPercent+EFBAdd,2)-$Q151),MIN(0,SUM($CS151:CW151)+MIN(0,ROUND($R151*EFBPercent+EFBAdd,2)-$Q151))))</f>
        <v>0</v>
      </c>
      <c r="DG151" s="192">
        <f>MAX(-CY151,MIN(0,ROUND($R151*EFBPercent+EFBAdd,2)-$Q151),MIN(0,SUM($CS151:CX151)+MIN(0,ROUND($R151*EFBPercent+EFBAdd,2)-$Q151)))</f>
        <v>0</v>
      </c>
      <c r="DI151" s="73">
        <f t="shared" si="109"/>
        <v>8841056.0200000014</v>
      </c>
      <c r="DJ151" s="73">
        <f t="shared" si="110"/>
        <v>154369.91</v>
      </c>
      <c r="DK151" s="73">
        <f t="shared" si="111"/>
        <v>0</v>
      </c>
      <c r="DL151" s="73">
        <f t="shared" si="112"/>
        <v>0</v>
      </c>
      <c r="DM151" s="73">
        <f t="shared" si="113"/>
        <v>0</v>
      </c>
      <c r="DN151" s="73">
        <f t="shared" si="114"/>
        <v>0</v>
      </c>
      <c r="DO151" s="73">
        <f t="shared" si="115"/>
        <v>0</v>
      </c>
      <c r="DP151" s="73"/>
      <c r="DQ151" s="73"/>
    </row>
    <row r="152" spans="1:121" ht="10.199999999999999" x14ac:dyDescent="0.2">
      <c r="A152" s="4" t="s">
        <v>616</v>
      </c>
      <c r="B152" s="188">
        <v>1148</v>
      </c>
      <c r="C152" s="189" t="s">
        <v>140</v>
      </c>
      <c r="D152" s="4">
        <v>2027</v>
      </c>
      <c r="E152" s="4" t="s">
        <v>453</v>
      </c>
      <c r="F152" s="4">
        <v>1</v>
      </c>
      <c r="G152" s="4" t="s">
        <v>660</v>
      </c>
      <c r="H152" s="4">
        <v>100</v>
      </c>
      <c r="I152" s="4" t="s">
        <v>855</v>
      </c>
      <c r="J152" s="5">
        <v>3387847.32</v>
      </c>
      <c r="K152" s="5">
        <v>443.24</v>
      </c>
      <c r="L152" s="5">
        <v>109</v>
      </c>
      <c r="M152" s="5">
        <v>0</v>
      </c>
      <c r="N152" s="280">
        <v>2555132</v>
      </c>
      <c r="O152" s="5">
        <v>0</v>
      </c>
      <c r="P152" s="5">
        <v>85.88</v>
      </c>
      <c r="Q152" s="5">
        <v>0</v>
      </c>
      <c r="R152" s="5">
        <v>0</v>
      </c>
      <c r="S152" s="5">
        <v>0</v>
      </c>
      <c r="T152" s="5">
        <v>0</v>
      </c>
      <c r="U152" s="5">
        <v>0</v>
      </c>
      <c r="V152" s="5">
        <v>75115.56</v>
      </c>
      <c r="W152" s="5">
        <v>20294.169999999998</v>
      </c>
      <c r="X152" s="5">
        <v>4104.71</v>
      </c>
      <c r="Y152" s="5">
        <v>0.2</v>
      </c>
      <c r="Z152" s="5">
        <v>30</v>
      </c>
      <c r="AA152" s="5">
        <v>206</v>
      </c>
      <c r="AB152" s="5">
        <v>74</v>
      </c>
      <c r="AC152" s="5">
        <v>131</v>
      </c>
      <c r="AD152" s="5">
        <v>0</v>
      </c>
      <c r="AE152" s="5">
        <v>0</v>
      </c>
      <c r="AF152" s="5">
        <v>0</v>
      </c>
      <c r="AG152" s="5">
        <v>0</v>
      </c>
      <c r="AH152" s="5">
        <v>0.995</v>
      </c>
      <c r="AI152" s="5">
        <v>0</v>
      </c>
      <c r="AJ152" s="5">
        <v>0</v>
      </c>
      <c r="AK152" s="5">
        <v>0</v>
      </c>
      <c r="AL152" s="5">
        <v>429.94</v>
      </c>
      <c r="AM152" s="5">
        <v>1.9900000000000091</v>
      </c>
      <c r="AN152" s="5">
        <v>441</v>
      </c>
      <c r="AO152" s="5">
        <f t="shared" si="141"/>
        <v>0</v>
      </c>
      <c r="AP152" s="5">
        <f t="shared" si="147"/>
        <v>0</v>
      </c>
      <c r="AQ152" s="5">
        <v>0</v>
      </c>
      <c r="AR152" s="5">
        <v>0</v>
      </c>
      <c r="AS152" s="5">
        <v>0</v>
      </c>
      <c r="AT152" s="5">
        <v>172052</v>
      </c>
      <c r="AU152" s="5">
        <v>0</v>
      </c>
      <c r="AV152" s="5">
        <v>2950</v>
      </c>
      <c r="AW152" s="5">
        <v>109</v>
      </c>
      <c r="AX152" s="5">
        <v>1</v>
      </c>
      <c r="AY152" s="199">
        <v>0</v>
      </c>
      <c r="AZ152" s="199">
        <v>0</v>
      </c>
      <c r="BA152" s="5">
        <v>541048.77</v>
      </c>
      <c r="BB152" s="13">
        <v>267155.58</v>
      </c>
      <c r="BC152" s="190">
        <f>MAX(ROUND(IF(F152&lt;4,IF(H152=0,(SUM(Y152:AD152)*Worksheet!$E$26+Y152*Worksheet!$E$27+AR152*Worksheet!$E$39)*-BaseRate,0)),2),MIN(0,-DI152))</f>
        <v>0</v>
      </c>
      <c r="BD152" s="190">
        <f>MAX(ROUND(IF(F152=4,0,IF(I152=0,0,ROUND(SUM(Y152:AD152)*Worksheet!$E$28,2)*-BaseRate)),2),MIN(0,-DI152-BC152))</f>
        <v>-10237.040000000001</v>
      </c>
      <c r="BE152" s="130">
        <f t="shared" si="134"/>
        <v>0</v>
      </c>
      <c r="BF152" s="130">
        <f t="shared" si="135"/>
        <v>1404</v>
      </c>
      <c r="BG152" s="73"/>
      <c r="BH152" s="191">
        <f t="shared" si="136"/>
        <v>9224.7999999999993</v>
      </c>
      <c r="BI152" s="191">
        <f t="shared" si="137"/>
        <v>7643.37</v>
      </c>
      <c r="BJ152" s="232">
        <f>IFERROR(ROUND(IF(AND(BB152*1.12&lt;N152*60/1000,N152/CL152&lt;STVPP*0.2),(CL152*STVPP*0.2*Worksheet!$F$88/1000-BB152*1.12)*PropTaxAdj,IF(BB152*1.12&lt;N152*60/1000,(N152*60/1000-BB152*1.12)*PropTaxAdj,0)),2),0)</f>
        <v>0</v>
      </c>
      <c r="BK152" s="192">
        <f>ROUND(IF($F152=4,0,Y152*Worksheet!$E$16),2)</f>
        <v>0.2</v>
      </c>
      <c r="BL152" s="192">
        <f>ROUND(IF($F152=4,0,Z152*Worksheet!$E$17),2)</f>
        <v>30</v>
      </c>
      <c r="BM152" s="192">
        <f>ROUND(IF($F152=4,0,AA152*Worksheet!$E$18),2)</f>
        <v>206</v>
      </c>
      <c r="BN152" s="192">
        <f>ROUND(IF($F152=4,0,AB152*Worksheet!$E$19),2)</f>
        <v>74</v>
      </c>
      <c r="BO152" s="192">
        <f>ROUND(IF($F152=4,0,AC152*Worksheet!$E$20),2)</f>
        <v>131</v>
      </c>
      <c r="BP152" s="192">
        <f>ROUND(AD152*Worksheet!$E$21,2)</f>
        <v>0</v>
      </c>
      <c r="BQ152" s="192">
        <f t="shared" si="105"/>
        <v>441.2</v>
      </c>
      <c r="BR152" s="192">
        <f>ROUND(AD152*Worksheet!$E$25,2)</f>
        <v>0</v>
      </c>
      <c r="BS152" s="192">
        <f>ROUND(SUM(BQ152)*Worksheet!$E$26,2)</f>
        <v>38.83</v>
      </c>
      <c r="BT152" s="192">
        <f>ROUND(Y152*Worksheet!$E$27,2)</f>
        <v>0.03</v>
      </c>
      <c r="BU152" s="192">
        <f>ROUND(AO152*Worksheet!$E$29,2)</f>
        <v>0</v>
      </c>
      <c r="BV152" s="192">
        <f>ROUND(AP152*Worksheet!$E$30,2)</f>
        <v>0</v>
      </c>
      <c r="BW152" s="192">
        <f>ROUND(IF($I152&lt;&gt;0,$BQ152*Worksheet!$E$28,0),2)</f>
        <v>0.88</v>
      </c>
      <c r="BX152" s="192">
        <f>ROUND(AE152*Worksheet!$E$31,2)</f>
        <v>0</v>
      </c>
      <c r="BY152" s="192">
        <f>ROUND(AF152*Worksheet!$E$32,2)</f>
        <v>0</v>
      </c>
      <c r="BZ152" s="192">
        <f>ROUND(AG152*Worksheet!$E$33,2)</f>
        <v>0</v>
      </c>
      <c r="CA152" s="192">
        <f>ROUND(ROUND(AH152*BQ152,2)*Worksheet!$E$34,2)</f>
        <v>10.97</v>
      </c>
      <c r="CB152" s="192">
        <f>ROUND(AI152*Worksheet!$E$35,2)</f>
        <v>0</v>
      </c>
      <c r="CC152" s="192">
        <f>ROUND(AJ152*Worksheet!$E$36,2)</f>
        <v>0</v>
      </c>
      <c r="CD152" s="192">
        <f>ROUND(AQ152*Worksheet!$E$38,2)</f>
        <v>0</v>
      </c>
      <c r="CE152" s="192">
        <f>ROUND(AR152*Worksheet!$E$39,2)</f>
        <v>0</v>
      </c>
      <c r="CF152" s="192">
        <f>IF(AND(L152&gt;275,SUM(Y152:AD152)&lt;100),ROUND(SUM(Y152:AD152)*Worksheet!$E$41,2),0)</f>
        <v>0</v>
      </c>
      <c r="CG152" s="192">
        <f>IF(AND(L152&gt;600,SUM(Y152:AD152)&lt;50),ROUND((50-SUM(Y152:AD152))*(Worksheet!$E$41+1),2),0)</f>
        <v>0</v>
      </c>
      <c r="CH152" s="192">
        <f t="shared" si="106"/>
        <v>491.90999999999997</v>
      </c>
      <c r="CI152" s="116">
        <f t="shared" si="142"/>
        <v>0</v>
      </c>
      <c r="CJ152" s="116">
        <f t="shared" si="143"/>
        <v>491.90999999999997</v>
      </c>
      <c r="CK152" s="95">
        <f t="shared" si="138"/>
        <v>1.02</v>
      </c>
      <c r="CL152" s="116">
        <f t="shared" si="144"/>
        <v>501.75</v>
      </c>
      <c r="CM152" s="116">
        <f t="shared" si="145"/>
        <v>501.75</v>
      </c>
      <c r="CN152" s="116">
        <f t="shared" si="139"/>
        <v>5836857.75</v>
      </c>
      <c r="CO152" s="131">
        <f>ROUND(IF(F152=4,0,(MAX(ROUND(MAX((BI152*MIN(CL152,K152)*Worksheet!$D$126)+MAX(CL152-K152,0)*Worksheet!$F$50,SUM(J152)),2),SUM(CN152))-SUM(CN152))*MinAdj),2)</f>
        <v>0</v>
      </c>
      <c r="CP152" s="192">
        <f t="shared" si="140"/>
        <v>5836857.75</v>
      </c>
      <c r="CQ152" s="131">
        <f>IF(CL152=0,0,-MIN(CP152,MIN(CP152,ROUND(IF(ROUND(IF(CL152=0,0,N152/CL152),2)&lt;STVPP*0.2,STVPP*0.2*CL152*Worksheet!$F$88/1000,N152*Worksheet!$F$88/1000),2))))</f>
        <v>-277712.59999999998</v>
      </c>
      <c r="CR152" s="193">
        <f>-MIN(SUM(CP152,CQ152),IF($P152=0,(ROUND(Worksheet!$E$77*S152,2)+ROUND(Worksheet!$E$78*T152,2)+ROUND(Worksheet!$E$79*U152,2)+ROUND(Worksheet!$E$80*V152,2)+ROUND(Worksheet!$E$81*W152,2)+ROUND(Worksheet!$E$82*X152,2)),(ROUND(ROUND(S152*ROUND((1-$O152/$P152),4),2)*Worksheet!$E$77,2)+ROUND(ROUND(T152*ROUND((1-$O152/$P152),4),2)*Worksheet!$E$78,2)+ROUND(ROUND(U152*ROUND((1-$O152/$P152),4),2)*Worksheet!$E$79,2)+ROUND(ROUND(V152*ROUND((1-$O152/$P152),4),2)*Worksheet!$E$80,2)+ROUND(ROUND(W152*ROUND((1-$O152/$P152),4),2)*Worksheet!$E$81,2)+ROUND(ROUND(X152*ROUND((1-$O152/$P152),4),2)*Worksheet!$E$82,2))))</f>
        <v>-74635.83</v>
      </c>
      <c r="CS152" s="192">
        <f t="shared" si="107"/>
        <v>5484509.3200000003</v>
      </c>
      <c r="CT152" s="116">
        <f>ROUND(MIN(BA152,ROUND((ROUND(AS152*Worksheet!$E$104,2)+ROUND(AV152*Worksheet!$E$107,2)+ROUND(AT152*Worksheet!$E$105,2)+ROUND(AW152*Worksheet!$E$108,2)+ROUND(AU152*Worksheet!$E$106,2)+ROUND(AX152*Worksheet!$E$109,2)+ROUND(AY152*Worksheet!$E$110,2)+ROUND(AZ152*Worksheet!$E$111,2))*Worksheet!$D$114,2))*BaseRate,2)</f>
        <v>235102.93</v>
      </c>
      <c r="CU152" s="121">
        <v>0</v>
      </c>
      <c r="CV152" s="121">
        <v>0</v>
      </c>
      <c r="CW152" s="121">
        <v>0</v>
      </c>
      <c r="CX152" s="121">
        <v>0</v>
      </c>
      <c r="CY152" s="121">
        <v>0</v>
      </c>
      <c r="DA152" s="192">
        <f t="shared" si="108"/>
        <v>0</v>
      </c>
      <c r="DB152" s="192">
        <f>MAX(-CT152,MIN(0,ROUND($R152*EFBPercent+EFBAdd,2)-$Q152),MIN(0,SUM($CS152:CS152)+MIN(0,ROUND($R152*EFBPercent+EFBAdd,2)-$Q152)))</f>
        <v>0</v>
      </c>
      <c r="DC152" s="192">
        <f>IF(CU152&lt;0,0,MAX(-CU152,MIN(0,ROUND($R152*EFBPercent+EFBAdd,2)-$Q152),MIN(0,SUM($CS152:CT152)+MIN(0,ROUND($R152*EFBPercent+EFBAdd,2)-$Q152))))</f>
        <v>0</v>
      </c>
      <c r="DD152" s="192">
        <f>IF(CV152&lt;0,0,MAX(-CV152,MIN(0,ROUND($R152*EFBPercent+EFBAdd,2)-$Q152),MIN(0,SUM($CS152:CU152)+MIN(0,ROUND($R152*EFBPercent+EFBAdd,2)-$Q152))))</f>
        <v>0</v>
      </c>
      <c r="DE152" s="192">
        <f>IF(CW152&lt;0,0,MAX(-CW152,MIN(0,ROUND($R152*EFBPercent+EFBAdd,2)-$Q152),MIN(0,SUM($CS152:CV152)+MIN(0,ROUND($R152*EFBPercent+EFBAdd,2)-$Q152))))</f>
        <v>0</v>
      </c>
      <c r="DF152" s="192">
        <f>IF(CX152&lt;0,0,MAX(-CX152,MIN(0,ROUND($R152*EFBPercent+EFBAdd,2)-$Q152),MIN(0,SUM($CS152:CW152)+MIN(0,ROUND($R152*EFBPercent+EFBAdd,2)-$Q152))))</f>
        <v>0</v>
      </c>
      <c r="DG152" s="192">
        <f>MAX(-CY152,MIN(0,ROUND($R152*EFBPercent+EFBAdd,2)-$Q152),MIN(0,SUM($CS152:CX152)+MIN(0,ROUND($R152*EFBPercent+EFBAdd,2)-$Q152)))</f>
        <v>0</v>
      </c>
      <c r="DI152" s="73">
        <f t="shared" si="109"/>
        <v>5484509.3200000003</v>
      </c>
      <c r="DJ152" s="73">
        <f t="shared" si="110"/>
        <v>235102.93</v>
      </c>
      <c r="DK152" s="73">
        <f t="shared" si="111"/>
        <v>0</v>
      </c>
      <c r="DL152" s="73">
        <f t="shared" si="112"/>
        <v>0</v>
      </c>
      <c r="DM152" s="73">
        <f t="shared" si="113"/>
        <v>0</v>
      </c>
      <c r="DN152" s="73">
        <f t="shared" si="114"/>
        <v>0</v>
      </c>
      <c r="DO152" s="73">
        <f t="shared" si="115"/>
        <v>0</v>
      </c>
      <c r="DP152" s="73"/>
      <c r="DQ152" s="73"/>
    </row>
    <row r="153" spans="1:121" ht="10.199999999999999" x14ac:dyDescent="0.2">
      <c r="A153" s="4" t="s">
        <v>617</v>
      </c>
      <c r="B153" s="188">
        <v>1111</v>
      </c>
      <c r="C153" s="189" t="s">
        <v>141</v>
      </c>
      <c r="D153" s="4">
        <v>2027</v>
      </c>
      <c r="E153" s="4" t="s">
        <v>454</v>
      </c>
      <c r="F153" s="4">
        <v>1</v>
      </c>
      <c r="G153" s="4" t="s">
        <v>849</v>
      </c>
      <c r="H153" s="4">
        <v>100</v>
      </c>
      <c r="I153" s="4" t="s">
        <v>849</v>
      </c>
      <c r="J153" s="5">
        <v>3114500.48</v>
      </c>
      <c r="K153" s="5">
        <v>322.88</v>
      </c>
      <c r="L153" s="5">
        <v>466.98</v>
      </c>
      <c r="M153" s="5">
        <v>0</v>
      </c>
      <c r="N153" s="280">
        <v>15453350</v>
      </c>
      <c r="O153" s="5">
        <v>0</v>
      </c>
      <c r="P153" s="5">
        <v>95.11</v>
      </c>
      <c r="Q153" s="5">
        <v>0</v>
      </c>
      <c r="R153" s="5">
        <v>0</v>
      </c>
      <c r="S153" s="5">
        <v>2000</v>
      </c>
      <c r="T153" s="5">
        <v>0</v>
      </c>
      <c r="U153" s="5">
        <v>0</v>
      </c>
      <c r="V153" s="5">
        <v>226252.3</v>
      </c>
      <c r="W153" s="5">
        <v>3862.25</v>
      </c>
      <c r="X153" s="5">
        <v>25017.119999999999</v>
      </c>
      <c r="Y153" s="5">
        <v>0.08</v>
      </c>
      <c r="Z153" s="5">
        <v>13</v>
      </c>
      <c r="AA153" s="5">
        <v>92</v>
      </c>
      <c r="AB153" s="5">
        <v>34</v>
      </c>
      <c r="AC153" s="5">
        <v>90</v>
      </c>
      <c r="AD153" s="5">
        <v>0</v>
      </c>
      <c r="AE153" s="5">
        <v>0</v>
      </c>
      <c r="AF153" s="5">
        <v>0</v>
      </c>
      <c r="AG153" s="5">
        <v>0</v>
      </c>
      <c r="AH153" s="5">
        <v>0.47699999999999998</v>
      </c>
      <c r="AI153" s="5">
        <v>0</v>
      </c>
      <c r="AJ153" s="5">
        <v>0</v>
      </c>
      <c r="AK153" s="5">
        <v>0</v>
      </c>
      <c r="AL153" s="5">
        <v>222.86</v>
      </c>
      <c r="AM153" s="5">
        <v>0</v>
      </c>
      <c r="AN153" s="5">
        <v>229</v>
      </c>
      <c r="AO153" s="5">
        <f t="shared" si="141"/>
        <v>0</v>
      </c>
      <c r="AP153" s="5">
        <f t="shared" si="147"/>
        <v>0</v>
      </c>
      <c r="AQ153" s="5">
        <v>0</v>
      </c>
      <c r="AR153" s="5">
        <v>0.1</v>
      </c>
      <c r="AS153" s="5">
        <v>0</v>
      </c>
      <c r="AT153" s="5">
        <v>41174</v>
      </c>
      <c r="AU153" s="5">
        <v>0</v>
      </c>
      <c r="AV153" s="5">
        <v>1038</v>
      </c>
      <c r="AW153" s="5">
        <v>466.98</v>
      </c>
      <c r="AX153" s="5">
        <v>1</v>
      </c>
      <c r="AY153" s="199">
        <v>0</v>
      </c>
      <c r="AZ153" s="199">
        <v>0</v>
      </c>
      <c r="BA153" s="5">
        <v>151011.6</v>
      </c>
      <c r="BB153" s="13">
        <v>907241.7</v>
      </c>
      <c r="BC153" s="190">
        <f>MAX(ROUND(IF(F153&lt;4,IF(H153=0,(SUM(Y153:AD153)*Worksheet!$E$26+Y153*Worksheet!$E$27+AR153*Worksheet!$E$39)*-BaseRate,0)),2),MIN(0,-DI153))</f>
        <v>0</v>
      </c>
      <c r="BD153" s="190">
        <f>MAX(ROUND(IF(F153=4,0,IF(I153=0,0,ROUND(SUM(Y153:AD153)*Worksheet!$E$28,2)*-BaseRate)),2),MIN(0,-DI153-BC153))</f>
        <v>-5351.18</v>
      </c>
      <c r="BE153" s="130">
        <f t="shared" si="134"/>
        <v>0</v>
      </c>
      <c r="BF153" s="130">
        <f t="shared" si="135"/>
        <v>1405</v>
      </c>
      <c r="BG153" s="73"/>
      <c r="BH153" s="191">
        <f t="shared" si="136"/>
        <v>49348.08</v>
      </c>
      <c r="BI153" s="191">
        <f t="shared" si="137"/>
        <v>9646</v>
      </c>
      <c r="BJ153" s="232">
        <f>IFERROR(ROUND(IF(AND(BB153*1.12&lt;N153*60/1000,N153/CL153&lt;STVPP*0.2),(CL153*STVPP*0.2*Worksheet!$F$88/1000-BB153*1.12)*PropTaxAdj,IF(BB153*1.12&lt;N153*60/1000,(N153*60/1000-BB153*1.12)*PropTaxAdj,0)),2),0)</f>
        <v>0</v>
      </c>
      <c r="BK153" s="192">
        <f>ROUND(IF($F153=4,0,Y153*Worksheet!$E$16),2)</f>
        <v>0.08</v>
      </c>
      <c r="BL153" s="192">
        <f>ROUND(IF($F153=4,0,Z153*Worksheet!$E$17),2)</f>
        <v>13</v>
      </c>
      <c r="BM153" s="192">
        <f>ROUND(IF($F153=4,0,AA153*Worksheet!$E$18),2)</f>
        <v>92</v>
      </c>
      <c r="BN153" s="192">
        <f>ROUND(IF($F153=4,0,AB153*Worksheet!$E$19),2)</f>
        <v>34</v>
      </c>
      <c r="BO153" s="192">
        <f>ROUND(IF($F153=4,0,AC153*Worksheet!$E$20),2)</f>
        <v>90</v>
      </c>
      <c r="BP153" s="192">
        <f>ROUND(AD153*Worksheet!$E$21,2)</f>
        <v>0</v>
      </c>
      <c r="BQ153" s="192">
        <f t="shared" si="105"/>
        <v>229.07999999999998</v>
      </c>
      <c r="BR153" s="192">
        <f>ROUND(AD153*Worksheet!$E$25,2)</f>
        <v>0</v>
      </c>
      <c r="BS153" s="192">
        <f>ROUND(SUM(BQ153)*Worksheet!$E$26,2)</f>
        <v>20.16</v>
      </c>
      <c r="BT153" s="192">
        <f>ROUND(Y153*Worksheet!$E$27,2)</f>
        <v>0.01</v>
      </c>
      <c r="BU153" s="192">
        <f>ROUND(AO153*Worksheet!$E$29,2)</f>
        <v>0</v>
      </c>
      <c r="BV153" s="192">
        <f>ROUND(AP153*Worksheet!$E$30,2)</f>
        <v>0</v>
      </c>
      <c r="BW153" s="192">
        <f>ROUND(IF($I153&lt;&gt;0,$BQ153*Worksheet!$E$28,0),2)</f>
        <v>0.46</v>
      </c>
      <c r="BX153" s="192">
        <f>ROUND(AE153*Worksheet!$E$31,2)</f>
        <v>0</v>
      </c>
      <c r="BY153" s="192">
        <f>ROUND(AF153*Worksheet!$E$32,2)</f>
        <v>0</v>
      </c>
      <c r="BZ153" s="192">
        <f>ROUND(AG153*Worksheet!$E$33,2)</f>
        <v>0</v>
      </c>
      <c r="CA153" s="192">
        <f>ROUND(ROUND(AH153*BQ153,2)*Worksheet!$E$34,2)</f>
        <v>2.73</v>
      </c>
      <c r="CB153" s="192">
        <f>ROUND(AI153*Worksheet!$E$35,2)</f>
        <v>0</v>
      </c>
      <c r="CC153" s="192">
        <f>ROUND(AJ153*Worksheet!$E$36,2)</f>
        <v>0</v>
      </c>
      <c r="CD153" s="192">
        <f>ROUND(AQ153*Worksheet!$E$38,2)</f>
        <v>0</v>
      </c>
      <c r="CE153" s="192">
        <f>ROUND(AR153*Worksheet!$E$39,2)</f>
        <v>0.1</v>
      </c>
      <c r="CF153" s="192">
        <f>IF(AND(L153&gt;275,SUM(Y153:AD153)&lt;100),ROUND(SUM(Y153:AD153)*Worksheet!$E$41,2),0)</f>
        <v>0</v>
      </c>
      <c r="CG153" s="192">
        <f>IF(AND(L153&gt;600,SUM(Y153:AD153)&lt;50),ROUND((50-SUM(Y153:AD153))*(Worksheet!$E$41+1),2),0)</f>
        <v>0</v>
      </c>
      <c r="CH153" s="192">
        <f t="shared" si="106"/>
        <v>252.53999999999996</v>
      </c>
      <c r="CI153" s="116">
        <f t="shared" si="142"/>
        <v>0</v>
      </c>
      <c r="CJ153" s="116">
        <f t="shared" si="143"/>
        <v>252.53999999999996</v>
      </c>
      <c r="CK153" s="95">
        <f t="shared" si="138"/>
        <v>1.24</v>
      </c>
      <c r="CL153" s="116">
        <f t="shared" si="144"/>
        <v>313.14999999999998</v>
      </c>
      <c r="CM153" s="116">
        <f t="shared" si="145"/>
        <v>313.14999999999998</v>
      </c>
      <c r="CN153" s="116">
        <f t="shared" si="139"/>
        <v>3642873.95</v>
      </c>
      <c r="CO153" s="131">
        <f>ROUND(IF(F153=4,0,(MAX(ROUND(MAX((BI153*MIN(CL153,K153)*Worksheet!$D$126)+MAX(CL153-K153,0)*Worksheet!$F$50,SUM(J153)),2),SUM(CN153))-SUM(CN153))*MinAdj),2)</f>
        <v>0</v>
      </c>
      <c r="CP153" s="192">
        <f t="shared" si="140"/>
        <v>3642873.95</v>
      </c>
      <c r="CQ153" s="131">
        <f>IF(CL153=0,0,-MIN(CP153,MIN(CP153,ROUND(IF(ROUND(IF(CL153=0,0,N153/CL153),2)&lt;STVPP*0.2,STVPP*0.2*CL153*Worksheet!$F$88/1000,N153*Worksheet!$F$88/1000),2))))</f>
        <v>-927201</v>
      </c>
      <c r="CR153" s="193">
        <f>-MIN(SUM(CP153,CQ153),IF($P153=0,(ROUND(Worksheet!$E$77*S153,2)+ROUND(Worksheet!$E$78*T153,2)+ROUND(Worksheet!$E$79*U153,2)+ROUND(Worksheet!$E$80*V153,2)+ROUND(Worksheet!$E$81*W153,2)+ROUND(Worksheet!$E$82*X153,2)),(ROUND(ROUND(S153*ROUND((1-$O153/$P153),4),2)*Worksheet!$E$77,2)+ROUND(ROUND(T153*ROUND((1-$O153/$P153),4),2)*Worksheet!$E$78,2)+ROUND(ROUND(U153*ROUND((1-$O153/$P153),4),2)*Worksheet!$E$79,2)+ROUND(ROUND(V153*ROUND((1-$O153/$P153),4),2)*Worksheet!$E$80,2)+ROUND(ROUND(W153*ROUND((1-$O153/$P153),4),2)*Worksheet!$E$81,2)+ROUND(ROUND(X153*ROUND((1-$O153/$P153),4),2)*Worksheet!$E$82,2))))</f>
        <v>-192848.76</v>
      </c>
      <c r="CS153" s="192">
        <f t="shared" si="107"/>
        <v>2522824.1900000004</v>
      </c>
      <c r="CT153" s="116">
        <f>ROUND(MIN(BA153,ROUND((ROUND(AS153*Worksheet!$E$104,2)+ROUND(AV153*Worksheet!$E$107,2)+ROUND(AT153*Worksheet!$E$105,2)+ROUND(AW153*Worksheet!$E$108,2)+ROUND(AU153*Worksheet!$E$106,2)+ROUND(AX153*Worksheet!$E$109,2)+ROUND(AY153*Worksheet!$E$110,2)+ROUND(AZ153*Worksheet!$E$111,2))*Worksheet!$D$114,2))*BaseRate,2)</f>
        <v>67006.080000000002</v>
      </c>
      <c r="CU153" s="121">
        <v>0</v>
      </c>
      <c r="CV153" s="121">
        <v>0</v>
      </c>
      <c r="CW153" s="121">
        <v>0</v>
      </c>
      <c r="CX153" s="121">
        <v>0</v>
      </c>
      <c r="CY153" s="121">
        <v>0</v>
      </c>
      <c r="DA153" s="192">
        <f t="shared" si="108"/>
        <v>0</v>
      </c>
      <c r="DB153" s="192">
        <f>MAX(-CT153,MIN(0,ROUND($R153*EFBPercent+EFBAdd,2)-$Q153),MIN(0,SUM($CS153:CS153)+MIN(0,ROUND($R153*EFBPercent+EFBAdd,2)-$Q153)))</f>
        <v>0</v>
      </c>
      <c r="DC153" s="192">
        <f>IF(CU153&lt;0,0,MAX(-CU153,MIN(0,ROUND($R153*EFBPercent+EFBAdd,2)-$Q153),MIN(0,SUM($CS153:CT153)+MIN(0,ROUND($R153*EFBPercent+EFBAdd,2)-$Q153))))</f>
        <v>0</v>
      </c>
      <c r="DD153" s="192">
        <f>IF(CV153&lt;0,0,MAX(-CV153,MIN(0,ROUND($R153*EFBPercent+EFBAdd,2)-$Q153),MIN(0,SUM($CS153:CU153)+MIN(0,ROUND($R153*EFBPercent+EFBAdd,2)-$Q153))))</f>
        <v>0</v>
      </c>
      <c r="DE153" s="192">
        <f>IF(CW153&lt;0,0,MAX(-CW153,MIN(0,ROUND($R153*EFBPercent+EFBAdd,2)-$Q153),MIN(0,SUM($CS153:CV153)+MIN(0,ROUND($R153*EFBPercent+EFBAdd,2)-$Q153))))</f>
        <v>0</v>
      </c>
      <c r="DF153" s="192">
        <f>IF(CX153&lt;0,0,MAX(-CX153,MIN(0,ROUND($R153*EFBPercent+EFBAdd,2)-$Q153),MIN(0,SUM($CS153:CW153)+MIN(0,ROUND($R153*EFBPercent+EFBAdd,2)-$Q153))))</f>
        <v>0</v>
      </c>
      <c r="DG153" s="192">
        <f>MAX(-CY153,MIN(0,ROUND($R153*EFBPercent+EFBAdd,2)-$Q153),MIN(0,SUM($CS153:CX153)+MIN(0,ROUND($R153*EFBPercent+EFBAdd,2)-$Q153)))</f>
        <v>0</v>
      </c>
      <c r="DI153" s="73">
        <f t="shared" si="109"/>
        <v>2522824.1900000004</v>
      </c>
      <c r="DJ153" s="73">
        <f t="shared" si="110"/>
        <v>67006.080000000002</v>
      </c>
      <c r="DK153" s="73">
        <f t="shared" si="111"/>
        <v>0</v>
      </c>
      <c r="DL153" s="73">
        <f t="shared" si="112"/>
        <v>0</v>
      </c>
      <c r="DM153" s="73">
        <f t="shared" si="113"/>
        <v>0</v>
      </c>
      <c r="DN153" s="73">
        <f t="shared" si="114"/>
        <v>0</v>
      </c>
      <c r="DO153" s="73">
        <f t="shared" si="115"/>
        <v>0</v>
      </c>
      <c r="DP153" s="73"/>
      <c r="DQ153" s="73"/>
    </row>
    <row r="154" spans="1:121" ht="10.199999999999999" x14ac:dyDescent="0.2">
      <c r="A154" s="4" t="s">
        <v>618</v>
      </c>
      <c r="B154" s="188">
        <v>1008</v>
      </c>
      <c r="C154" s="189" t="s">
        <v>142</v>
      </c>
      <c r="D154" s="4">
        <v>2027</v>
      </c>
      <c r="E154" s="4" t="s">
        <v>455</v>
      </c>
      <c r="F154" s="4">
        <v>1</v>
      </c>
      <c r="G154" s="4" t="s">
        <v>678</v>
      </c>
      <c r="H154" s="4">
        <v>100</v>
      </c>
      <c r="I154" s="4" t="s">
        <v>855</v>
      </c>
      <c r="J154" s="5">
        <v>15107015.890000001</v>
      </c>
      <c r="K154" s="5">
        <v>2198.25</v>
      </c>
      <c r="L154" s="5">
        <v>72.13</v>
      </c>
      <c r="M154" s="5">
        <v>0</v>
      </c>
      <c r="N154" s="280">
        <v>1051870</v>
      </c>
      <c r="O154" s="5">
        <v>0</v>
      </c>
      <c r="P154" s="5">
        <v>0</v>
      </c>
      <c r="Q154" s="5">
        <v>0</v>
      </c>
      <c r="R154" s="5">
        <v>0</v>
      </c>
      <c r="S154" s="5">
        <v>0</v>
      </c>
      <c r="T154" s="5">
        <v>0</v>
      </c>
      <c r="U154" s="5">
        <v>0</v>
      </c>
      <c r="V154" s="5">
        <v>0</v>
      </c>
      <c r="W154" s="5">
        <v>0</v>
      </c>
      <c r="X154" s="5">
        <v>0</v>
      </c>
      <c r="Y154" s="5">
        <v>15.91</v>
      </c>
      <c r="Z154" s="5">
        <v>118.61</v>
      </c>
      <c r="AA154" s="5">
        <v>768.36</v>
      </c>
      <c r="AB154" s="5">
        <v>263.13</v>
      </c>
      <c r="AC154" s="5">
        <v>473.18</v>
      </c>
      <c r="AD154" s="5">
        <v>18.82</v>
      </c>
      <c r="AE154" s="5">
        <v>0</v>
      </c>
      <c r="AF154" s="5">
        <v>0</v>
      </c>
      <c r="AG154" s="5">
        <v>0</v>
      </c>
      <c r="AH154" s="5">
        <v>0.98599999999999999</v>
      </c>
      <c r="AI154" s="5">
        <v>0</v>
      </c>
      <c r="AJ154" s="5">
        <v>0</v>
      </c>
      <c r="AK154" s="5">
        <v>0</v>
      </c>
      <c r="AL154" s="5">
        <v>1599.8000000000002</v>
      </c>
      <c r="AM154" s="5">
        <v>0</v>
      </c>
      <c r="AN154" s="5">
        <v>1417</v>
      </c>
      <c r="AO154" s="5">
        <f t="shared" si="141"/>
        <v>0</v>
      </c>
      <c r="AP154" s="5">
        <f t="shared" si="147"/>
        <v>0</v>
      </c>
      <c r="AQ154" s="5">
        <v>0</v>
      </c>
      <c r="AR154" s="5">
        <v>0</v>
      </c>
      <c r="AS154" s="5">
        <v>13720</v>
      </c>
      <c r="AT154" s="5">
        <v>593528</v>
      </c>
      <c r="AU154" s="5">
        <v>140</v>
      </c>
      <c r="AV154" s="5">
        <v>15379</v>
      </c>
      <c r="AW154" s="5">
        <v>72.13</v>
      </c>
      <c r="AX154" s="5">
        <v>4</v>
      </c>
      <c r="AY154" s="199">
        <v>0</v>
      </c>
      <c r="AZ154" s="199">
        <v>0</v>
      </c>
      <c r="BA154" s="5">
        <v>2755658.72</v>
      </c>
      <c r="BB154" s="13">
        <v>999152.83</v>
      </c>
      <c r="BC154" s="190">
        <f>MAX(ROUND(IF(F154&lt;4,IF(H154=0,(SUM(Y154:AD154)*Worksheet!$E$26+Y154*Worksheet!$E$27+AR154*Worksheet!$E$39)*-BaseRate,0)),2),MIN(0,-DI154))</f>
        <v>0</v>
      </c>
      <c r="BD154" s="190">
        <f>MAX(ROUND(IF(F154=4,0,IF(I154=0,0,ROUND(SUM(Y154:AD154)*Worksheet!$E$28,2)*-BaseRate)),2),MIN(0,-DI154-BC154))</f>
        <v>-38621.56</v>
      </c>
      <c r="BE154" s="130">
        <f t="shared" si="134"/>
        <v>0</v>
      </c>
      <c r="BF154" s="130">
        <f t="shared" si="135"/>
        <v>1404</v>
      </c>
      <c r="BG154" s="73"/>
      <c r="BH154" s="191">
        <f t="shared" si="136"/>
        <v>9224.7999999999993</v>
      </c>
      <c r="BI154" s="191">
        <f t="shared" si="137"/>
        <v>6872.29</v>
      </c>
      <c r="BJ154" s="232">
        <f>IFERROR(ROUND(IF(AND(BB154*1.12&lt;N154*60/1000,N154/CL154&lt;STVPP*0.2),(CL154*STVPP*0.2*Worksheet!$F$88/1000-BB154*1.12)*PropTaxAdj,IF(BB154*1.12&lt;N154*60/1000,(N154*60/1000-BB154*1.12)*PropTaxAdj,0)),2),0)</f>
        <v>0</v>
      </c>
      <c r="BK154" s="192">
        <f>ROUND(IF($F154=4,0,Y154*Worksheet!$E$16),2)</f>
        <v>15.91</v>
      </c>
      <c r="BL154" s="192">
        <f>ROUND(IF($F154=4,0,Z154*Worksheet!$E$17),2)</f>
        <v>118.61</v>
      </c>
      <c r="BM154" s="192">
        <f>ROUND(IF($F154=4,0,AA154*Worksheet!$E$18),2)</f>
        <v>768.36</v>
      </c>
      <c r="BN154" s="192">
        <f>ROUND(IF($F154=4,0,AB154*Worksheet!$E$19),2)</f>
        <v>263.13</v>
      </c>
      <c r="BO154" s="192">
        <f>ROUND(IF($F154=4,0,AC154*Worksheet!$E$20),2)</f>
        <v>473.18</v>
      </c>
      <c r="BP154" s="192">
        <f>ROUND(AD154*Worksheet!$E$21,2)</f>
        <v>18.82</v>
      </c>
      <c r="BQ154" s="192">
        <f t="shared" si="105"/>
        <v>1658.01</v>
      </c>
      <c r="BR154" s="192">
        <f>ROUND(AD154*Worksheet!$E$25,2)</f>
        <v>4.71</v>
      </c>
      <c r="BS154" s="192">
        <f>ROUND(SUM(BQ154)*Worksheet!$E$26,2)</f>
        <v>145.9</v>
      </c>
      <c r="BT154" s="192">
        <f>ROUND(Y154*Worksheet!$E$27,2)</f>
        <v>2.7</v>
      </c>
      <c r="BU154" s="192">
        <f>ROUND(AO154*Worksheet!$E$29,2)</f>
        <v>0</v>
      </c>
      <c r="BV154" s="192">
        <f>ROUND(AP154*Worksheet!$E$30,2)</f>
        <v>0</v>
      </c>
      <c r="BW154" s="192">
        <f>ROUND(IF($I154&lt;&gt;0,$BQ154*Worksheet!$E$28,0),2)</f>
        <v>3.32</v>
      </c>
      <c r="BX154" s="192">
        <f>ROUND(AE154*Worksheet!$E$31,2)</f>
        <v>0</v>
      </c>
      <c r="BY154" s="192">
        <f>ROUND(AF154*Worksheet!$E$32,2)</f>
        <v>0</v>
      </c>
      <c r="BZ154" s="192">
        <f>ROUND(AG154*Worksheet!$E$33,2)</f>
        <v>0</v>
      </c>
      <c r="CA154" s="192">
        <f>ROUND(ROUND(AH154*BQ154,2)*Worksheet!$E$34,2)</f>
        <v>40.869999999999997</v>
      </c>
      <c r="CB154" s="192">
        <f>ROUND(AI154*Worksheet!$E$35,2)</f>
        <v>0</v>
      </c>
      <c r="CC154" s="192">
        <f>ROUND(AJ154*Worksheet!$E$36,2)</f>
        <v>0</v>
      </c>
      <c r="CD154" s="192">
        <f>ROUND(AQ154*Worksheet!$E$38,2)</f>
        <v>0</v>
      </c>
      <c r="CE154" s="192">
        <f>ROUND(AR154*Worksheet!$E$39,2)</f>
        <v>0</v>
      </c>
      <c r="CF154" s="192">
        <f>IF(AND(L154&gt;275,SUM(Y154:AD154)&lt;100),ROUND(SUM(Y154:AD154)*Worksheet!$E$41,2),0)</f>
        <v>0</v>
      </c>
      <c r="CG154" s="192">
        <f>IF(AND(L154&gt;600,SUM(Y154:AD154)&lt;50),ROUND((50-SUM(Y154:AD154))*(Worksheet!$E$41+1),2),0)</f>
        <v>0</v>
      </c>
      <c r="CH154" s="192">
        <f t="shared" si="106"/>
        <v>1855.51</v>
      </c>
      <c r="CI154" s="116">
        <f t="shared" si="142"/>
        <v>0</v>
      </c>
      <c r="CJ154" s="116">
        <f t="shared" si="143"/>
        <v>1855.51</v>
      </c>
      <c r="CK154" s="95">
        <f t="shared" si="138"/>
        <v>1</v>
      </c>
      <c r="CL154" s="116">
        <f t="shared" si="144"/>
        <v>1855.51</v>
      </c>
      <c r="CM154" s="116">
        <f t="shared" si="145"/>
        <v>1855.51</v>
      </c>
      <c r="CN154" s="116">
        <f t="shared" si="139"/>
        <v>21585147.829999998</v>
      </c>
      <c r="CO154" s="131">
        <f>ROUND(IF(F154=4,0,(MAX(ROUND(MAX((BI154*MIN(CL154,K154)*Worksheet!$D$126)+MAX(CL154-K154,0)*Worksheet!$F$50,SUM(J154)),2),SUM(CN154))-SUM(CN154))*MinAdj),2)</f>
        <v>0</v>
      </c>
      <c r="CP154" s="192">
        <f t="shared" si="140"/>
        <v>21585147.829999998</v>
      </c>
      <c r="CQ154" s="131">
        <f>IF(CL154=0,0,-MIN(CP154,MIN(CP154,ROUND(IF(ROUND(IF(CL154=0,0,N154/CL154),2)&lt;STVPP*0.2,STVPP*0.2*CL154*Worksheet!$F$88/1000,N154*Worksheet!$F$88/1000),2))))</f>
        <v>-1027002.52</v>
      </c>
      <c r="CR154" s="193">
        <f>-MIN(SUM(CP154,CQ154),IF($P154=0,(ROUND(Worksheet!$E$77*S154,2)+ROUND(Worksheet!$E$78*T154,2)+ROUND(Worksheet!$E$79*U154,2)+ROUND(Worksheet!$E$80*V154,2)+ROUND(Worksheet!$E$81*W154,2)+ROUND(Worksheet!$E$82*X154,2)),(ROUND(ROUND(S154*ROUND((1-$O154/$P154),4),2)*Worksheet!$E$77,2)+ROUND(ROUND(T154*ROUND((1-$O154/$P154),4),2)*Worksheet!$E$78,2)+ROUND(ROUND(U154*ROUND((1-$O154/$P154),4),2)*Worksheet!$E$79,2)+ROUND(ROUND(V154*ROUND((1-$O154/$P154),4),2)*Worksheet!$E$80,2)+ROUND(ROUND(W154*ROUND((1-$O154/$P154),4),2)*Worksheet!$E$81,2)+ROUND(ROUND(X154*ROUND((1-$O154/$P154),4),2)*Worksheet!$E$82,2))))</f>
        <v>0</v>
      </c>
      <c r="CS154" s="192">
        <f t="shared" si="107"/>
        <v>20558145.309999999</v>
      </c>
      <c r="CT154" s="116">
        <f>ROUND(MIN(BA154,ROUND((ROUND(AS154*Worksheet!$E$104,2)+ROUND(AV154*Worksheet!$E$107,2)+ROUND(AT154*Worksheet!$E$105,2)+ROUND(AW154*Worksheet!$E$108,2)+ROUND(AU154*Worksheet!$E$106,2)+ROUND(AX154*Worksheet!$E$109,2)+ROUND(AY154*Worksheet!$E$110,2)+ROUND(AZ154*Worksheet!$E$111,2))*Worksheet!$D$114,2))*BaseRate,2)</f>
        <v>871544.36</v>
      </c>
      <c r="CU154" s="121">
        <v>0</v>
      </c>
      <c r="CV154" s="121">
        <v>0</v>
      </c>
      <c r="CW154" s="121">
        <v>0</v>
      </c>
      <c r="CX154" s="121">
        <v>0</v>
      </c>
      <c r="CY154" s="121">
        <v>0</v>
      </c>
      <c r="DA154" s="192">
        <f t="shared" si="108"/>
        <v>0</v>
      </c>
      <c r="DB154" s="192">
        <f>MAX(-CT154,MIN(0,ROUND($R154*EFBPercent+EFBAdd,2)-$Q154),MIN(0,SUM($CS154:CS154)+MIN(0,ROUND($R154*EFBPercent+EFBAdd,2)-$Q154)))</f>
        <v>0</v>
      </c>
      <c r="DC154" s="192">
        <f>IF(CU154&lt;0,0,MAX(-CU154,MIN(0,ROUND($R154*EFBPercent+EFBAdd,2)-$Q154),MIN(0,SUM($CS154:CT154)+MIN(0,ROUND($R154*EFBPercent+EFBAdd,2)-$Q154))))</f>
        <v>0</v>
      </c>
      <c r="DD154" s="192">
        <f>IF(CV154&lt;0,0,MAX(-CV154,MIN(0,ROUND($R154*EFBPercent+EFBAdd,2)-$Q154),MIN(0,SUM($CS154:CU154)+MIN(0,ROUND($R154*EFBPercent+EFBAdd,2)-$Q154))))</f>
        <v>0</v>
      </c>
      <c r="DE154" s="192">
        <f>IF(CW154&lt;0,0,MAX(-CW154,MIN(0,ROUND($R154*EFBPercent+EFBAdd,2)-$Q154),MIN(0,SUM($CS154:CV154)+MIN(0,ROUND($R154*EFBPercent+EFBAdd,2)-$Q154))))</f>
        <v>0</v>
      </c>
      <c r="DF154" s="192">
        <f>IF(CX154&lt;0,0,MAX(-CX154,MIN(0,ROUND($R154*EFBPercent+EFBAdd,2)-$Q154),MIN(0,SUM($CS154:CW154)+MIN(0,ROUND($R154*EFBPercent+EFBAdd,2)-$Q154))))</f>
        <v>0</v>
      </c>
      <c r="DG154" s="192">
        <f>MAX(-CY154,MIN(0,ROUND($R154*EFBPercent+EFBAdd,2)-$Q154),MIN(0,SUM($CS154:CX154)+MIN(0,ROUND($R154*EFBPercent+EFBAdd,2)-$Q154)))</f>
        <v>0</v>
      </c>
      <c r="DI154" s="73">
        <f t="shared" si="109"/>
        <v>20558145.309999999</v>
      </c>
      <c r="DJ154" s="73">
        <f t="shared" si="110"/>
        <v>871544.36</v>
      </c>
      <c r="DK154" s="73">
        <f t="shared" si="111"/>
        <v>0</v>
      </c>
      <c r="DL154" s="73">
        <f t="shared" si="112"/>
        <v>0</v>
      </c>
      <c r="DM154" s="73">
        <f t="shared" si="113"/>
        <v>0</v>
      </c>
      <c r="DN154" s="73">
        <f t="shared" si="114"/>
        <v>0</v>
      </c>
      <c r="DO154" s="73">
        <f t="shared" si="115"/>
        <v>0</v>
      </c>
      <c r="DP154" s="73"/>
      <c r="DQ154" s="73"/>
    </row>
    <row r="155" spans="1:121" ht="10.199999999999999" x14ac:dyDescent="0.2">
      <c r="A155" s="4" t="s">
        <v>619</v>
      </c>
      <c r="B155" s="188">
        <v>1138</v>
      </c>
      <c r="C155" s="189" t="s">
        <v>143</v>
      </c>
      <c r="D155" s="4">
        <v>2027</v>
      </c>
      <c r="E155" s="4" t="s">
        <v>456</v>
      </c>
      <c r="F155" s="4">
        <v>1</v>
      </c>
      <c r="G155" s="4" t="s">
        <v>660</v>
      </c>
      <c r="H155" s="4">
        <v>100</v>
      </c>
      <c r="I155" s="4" t="s">
        <v>855</v>
      </c>
      <c r="J155" s="5">
        <v>2416113.2999999998</v>
      </c>
      <c r="K155" s="5">
        <v>237.47</v>
      </c>
      <c r="L155" s="5">
        <v>321.77</v>
      </c>
      <c r="M155" s="5">
        <v>0</v>
      </c>
      <c r="N155" s="280">
        <v>7789766</v>
      </c>
      <c r="O155" s="5">
        <v>0</v>
      </c>
      <c r="P155" s="5">
        <v>103.29</v>
      </c>
      <c r="Q155" s="5">
        <v>0</v>
      </c>
      <c r="R155" s="5">
        <v>0</v>
      </c>
      <c r="S155" s="5">
        <v>0</v>
      </c>
      <c r="T155" s="5">
        <v>0</v>
      </c>
      <c r="U155" s="5">
        <v>0</v>
      </c>
      <c r="V155" s="5">
        <v>10243.08</v>
      </c>
      <c r="W155" s="5">
        <v>47.75</v>
      </c>
      <c r="X155" s="5">
        <v>14645.74</v>
      </c>
      <c r="Y155" s="5">
        <v>0.04</v>
      </c>
      <c r="Z155" s="5">
        <v>6</v>
      </c>
      <c r="AA155" s="5">
        <v>55</v>
      </c>
      <c r="AB155" s="5">
        <v>18</v>
      </c>
      <c r="AC155" s="5">
        <v>42</v>
      </c>
      <c r="AD155" s="5">
        <v>0</v>
      </c>
      <c r="AE155" s="5">
        <v>0</v>
      </c>
      <c r="AF155" s="5">
        <v>0</v>
      </c>
      <c r="AG155" s="5">
        <v>0</v>
      </c>
      <c r="AH155" s="5">
        <v>0.41299999999999998</v>
      </c>
      <c r="AI155" s="5">
        <v>0</v>
      </c>
      <c r="AJ155" s="5">
        <v>0</v>
      </c>
      <c r="AK155" s="5">
        <v>0</v>
      </c>
      <c r="AL155" s="5">
        <v>117.93</v>
      </c>
      <c r="AM155" s="5">
        <v>0.1600000000000108</v>
      </c>
      <c r="AN155" s="5">
        <v>121</v>
      </c>
      <c r="AO155" s="5">
        <f t="shared" si="141"/>
        <v>0</v>
      </c>
      <c r="AP155" s="5">
        <f t="shared" si="147"/>
        <v>0</v>
      </c>
      <c r="AQ155" s="5">
        <v>0</v>
      </c>
      <c r="AR155" s="5">
        <v>0</v>
      </c>
      <c r="AS155" s="5">
        <v>1440</v>
      </c>
      <c r="AT155" s="5">
        <v>94050</v>
      </c>
      <c r="AU155" s="5">
        <v>48</v>
      </c>
      <c r="AV155" s="5">
        <v>1026</v>
      </c>
      <c r="AW155" s="5">
        <v>321.77</v>
      </c>
      <c r="AX155" s="5">
        <v>1</v>
      </c>
      <c r="AY155" s="199">
        <v>5202</v>
      </c>
      <c r="AZ155" s="199">
        <v>0</v>
      </c>
      <c r="BA155" s="5">
        <v>236803.20000000001</v>
      </c>
      <c r="BB155" s="13">
        <v>456877.8</v>
      </c>
      <c r="BC155" s="190">
        <f>MAX(ROUND(IF(F155&lt;4,IF(H155=0,(SUM(Y155:AD155)*Worksheet!$E$26+Y155*Worksheet!$E$27+AR155*Worksheet!$E$39)*-BaseRate,0)),2),MIN(0,-DI155))</f>
        <v>0</v>
      </c>
      <c r="BD155" s="190">
        <f>MAX(ROUND(IF(F155=4,0,IF(I155=0,0,ROUND(SUM(Y155:AD155)*Worksheet!$E$28,2)*-BaseRate)),2),MIN(0,-DI155-BC155))</f>
        <v>-2791.92</v>
      </c>
      <c r="BE155" s="130">
        <f t="shared" si="134"/>
        <v>0</v>
      </c>
      <c r="BF155" s="130">
        <f t="shared" si="135"/>
        <v>1404</v>
      </c>
      <c r="BG155" s="73"/>
      <c r="BH155" s="191">
        <f t="shared" si="136"/>
        <v>35881</v>
      </c>
      <c r="BI155" s="191">
        <f t="shared" si="137"/>
        <v>10174.39</v>
      </c>
      <c r="BJ155" s="232">
        <f>IFERROR(ROUND(IF(AND(BB155*1.12&lt;N155*60/1000,N155/CL155&lt;STVPP*0.2),(CL155*STVPP*0.2*Worksheet!$F$88/1000-BB155*1.12)*PropTaxAdj,IF(BB155*1.12&lt;N155*60/1000,(N155*60/1000-BB155*1.12)*PropTaxAdj,0)),2),0)</f>
        <v>0</v>
      </c>
      <c r="BK155" s="192">
        <f>ROUND(IF($F155=4,0,Y155*Worksheet!$E$16),2)</f>
        <v>0.04</v>
      </c>
      <c r="BL155" s="192">
        <f>ROUND(IF($F155=4,0,Z155*Worksheet!$E$17),2)</f>
        <v>6</v>
      </c>
      <c r="BM155" s="192">
        <f>ROUND(IF($F155=4,0,AA155*Worksheet!$E$18),2)</f>
        <v>55</v>
      </c>
      <c r="BN155" s="192">
        <f>ROUND(IF($F155=4,0,AB155*Worksheet!$E$19),2)</f>
        <v>18</v>
      </c>
      <c r="BO155" s="192">
        <f>ROUND(IF($F155=4,0,AC155*Worksheet!$E$20),2)</f>
        <v>42</v>
      </c>
      <c r="BP155" s="192">
        <f>ROUND(AD155*Worksheet!$E$21,2)</f>
        <v>0</v>
      </c>
      <c r="BQ155" s="192">
        <f t="shared" si="105"/>
        <v>121.03999999999999</v>
      </c>
      <c r="BR155" s="192">
        <f>ROUND(AD155*Worksheet!$E$25,2)</f>
        <v>0</v>
      </c>
      <c r="BS155" s="192">
        <f>ROUND(SUM(BQ155)*Worksheet!$E$26,2)</f>
        <v>10.65</v>
      </c>
      <c r="BT155" s="192">
        <f>ROUND(Y155*Worksheet!$E$27,2)</f>
        <v>0.01</v>
      </c>
      <c r="BU155" s="192">
        <f>ROUND(AO155*Worksheet!$E$29,2)</f>
        <v>0</v>
      </c>
      <c r="BV155" s="192">
        <f>ROUND(AP155*Worksheet!$E$30,2)</f>
        <v>0</v>
      </c>
      <c r="BW155" s="192">
        <f>ROUND(IF($I155&lt;&gt;0,$BQ155*Worksheet!$E$28,0),2)</f>
        <v>0.24</v>
      </c>
      <c r="BX155" s="192">
        <f>ROUND(AE155*Worksheet!$E$31,2)</f>
        <v>0</v>
      </c>
      <c r="BY155" s="192">
        <f>ROUND(AF155*Worksheet!$E$32,2)</f>
        <v>0</v>
      </c>
      <c r="BZ155" s="192">
        <f>ROUND(AG155*Worksheet!$E$33,2)</f>
        <v>0</v>
      </c>
      <c r="CA155" s="192">
        <f>ROUND(ROUND(AH155*BQ155,2)*Worksheet!$E$34,2)</f>
        <v>1.25</v>
      </c>
      <c r="CB155" s="192">
        <f>ROUND(AI155*Worksheet!$E$35,2)</f>
        <v>0</v>
      </c>
      <c r="CC155" s="192">
        <f>ROUND(AJ155*Worksheet!$E$36,2)</f>
        <v>0</v>
      </c>
      <c r="CD155" s="192">
        <f>ROUND(AQ155*Worksheet!$E$38,2)</f>
        <v>0</v>
      </c>
      <c r="CE155" s="192">
        <f>ROUND(AR155*Worksheet!$E$39,2)</f>
        <v>0</v>
      </c>
      <c r="CF155" s="192">
        <f>IF(AND(L155&gt;275,SUM(Y155:AD155)&lt;100),ROUND(SUM(Y155:AD155)*Worksheet!$E$41,2),0)</f>
        <v>0</v>
      </c>
      <c r="CG155" s="192">
        <f>IF(AND(L155&gt;600,SUM(Y155:AD155)&lt;50),ROUND((50-SUM(Y155:AD155))*(Worksheet!$E$41+1),2),0)</f>
        <v>0</v>
      </c>
      <c r="CH155" s="192">
        <f t="shared" si="106"/>
        <v>133.19</v>
      </c>
      <c r="CI155" s="116">
        <f t="shared" si="142"/>
        <v>0</v>
      </c>
      <c r="CJ155" s="116">
        <f t="shared" si="143"/>
        <v>133.19</v>
      </c>
      <c r="CK155" s="95">
        <f t="shared" si="138"/>
        <v>1.63</v>
      </c>
      <c r="CL155" s="116">
        <f t="shared" si="144"/>
        <v>217.1</v>
      </c>
      <c r="CM155" s="116">
        <f t="shared" si="145"/>
        <v>217.1</v>
      </c>
      <c r="CN155" s="116">
        <f t="shared" si="139"/>
        <v>2525524.2999999998</v>
      </c>
      <c r="CO155" s="131">
        <f>ROUND(IF(F155=4,0,(MAX(ROUND(MAX((BI155*MIN(CL155,K155)*Worksheet!$D$126)+MAX(CL155-K155,0)*Worksheet!$F$50,SUM(J155)),2),SUM(CN155))-SUM(CN155))*MinAdj),2)</f>
        <v>0</v>
      </c>
      <c r="CP155" s="192">
        <f t="shared" si="140"/>
        <v>2525524.2999999998</v>
      </c>
      <c r="CQ155" s="131">
        <f>IF(CL155=0,0,-MIN(CP155,MIN(CP155,ROUND(IF(ROUND(IF(CL155=0,0,N155/CL155),2)&lt;STVPP*0.2,STVPP*0.2*CL155*Worksheet!$F$88/1000,N155*Worksheet!$F$88/1000),2))))</f>
        <v>-467385.96</v>
      </c>
      <c r="CR155" s="193">
        <f>-MIN(SUM(CP155,CQ155),IF($P155=0,(ROUND(Worksheet!$E$77*S155,2)+ROUND(Worksheet!$E$78*T155,2)+ROUND(Worksheet!$E$79*U155,2)+ROUND(Worksheet!$E$80*V155,2)+ROUND(Worksheet!$E$81*W155,2)+ROUND(Worksheet!$E$82*X155,2)),(ROUND(ROUND(S155*ROUND((1-$O155/$P155),4),2)*Worksheet!$E$77,2)+ROUND(ROUND(T155*ROUND((1-$O155/$P155),4),2)*Worksheet!$E$78,2)+ROUND(ROUND(U155*ROUND((1-$O155/$P155),4),2)*Worksheet!$E$79,2)+ROUND(ROUND(V155*ROUND((1-$O155/$P155),4),2)*Worksheet!$E$80,2)+ROUND(ROUND(W155*ROUND((1-$O155/$P155),4),2)*Worksheet!$E$81,2)+ROUND(ROUND(X155*ROUND((1-$O155/$P155),4),2)*Worksheet!$E$82,2))))</f>
        <v>-18702.43</v>
      </c>
      <c r="CS155" s="192">
        <f t="shared" si="107"/>
        <v>2039435.91</v>
      </c>
      <c r="CT155" s="116">
        <f>ROUND(MIN(BA155,ROUND((ROUND(AS155*Worksheet!$E$104,2)+ROUND(AV155*Worksheet!$E$107,2)+ROUND(AT155*Worksheet!$E$105,2)+ROUND(AW155*Worksheet!$E$108,2)+ROUND(AU155*Worksheet!$E$106,2)+ROUND(AX155*Worksheet!$E$109,2)+ROUND(AY155*Worksheet!$E$110,2)+ROUND(AZ155*Worksheet!$E$111,2))*Worksheet!$D$114,2))*BaseRate,2)</f>
        <v>129009.97</v>
      </c>
      <c r="CU155" s="121">
        <v>0</v>
      </c>
      <c r="CV155" s="121">
        <v>0</v>
      </c>
      <c r="CW155" s="121">
        <v>0</v>
      </c>
      <c r="CX155" s="121">
        <v>0</v>
      </c>
      <c r="CY155" s="121">
        <v>0</v>
      </c>
      <c r="DA155" s="192">
        <f t="shared" si="108"/>
        <v>0</v>
      </c>
      <c r="DB155" s="192">
        <f>MAX(-CT155,MIN(0,ROUND($R155*EFBPercent+EFBAdd,2)-$Q155),MIN(0,SUM($CS155:CS155)+MIN(0,ROUND($R155*EFBPercent+EFBAdd,2)-$Q155)))</f>
        <v>0</v>
      </c>
      <c r="DC155" s="192">
        <f>IF(CU155&lt;0,0,MAX(-CU155,MIN(0,ROUND($R155*EFBPercent+EFBAdd,2)-$Q155),MIN(0,SUM($CS155:CT155)+MIN(0,ROUND($R155*EFBPercent+EFBAdd,2)-$Q155))))</f>
        <v>0</v>
      </c>
      <c r="DD155" s="192">
        <f>IF(CV155&lt;0,0,MAX(-CV155,MIN(0,ROUND($R155*EFBPercent+EFBAdd,2)-$Q155),MIN(0,SUM($CS155:CU155)+MIN(0,ROUND($R155*EFBPercent+EFBAdd,2)-$Q155))))</f>
        <v>0</v>
      </c>
      <c r="DE155" s="192">
        <f>IF(CW155&lt;0,0,MAX(-CW155,MIN(0,ROUND($R155*EFBPercent+EFBAdd,2)-$Q155),MIN(0,SUM($CS155:CV155)+MIN(0,ROUND($R155*EFBPercent+EFBAdd,2)-$Q155))))</f>
        <v>0</v>
      </c>
      <c r="DF155" s="192">
        <f>IF(CX155&lt;0,0,MAX(-CX155,MIN(0,ROUND($R155*EFBPercent+EFBAdd,2)-$Q155),MIN(0,SUM($CS155:CW155)+MIN(0,ROUND($R155*EFBPercent+EFBAdd,2)-$Q155))))</f>
        <v>0</v>
      </c>
      <c r="DG155" s="192">
        <f>MAX(-CY155,MIN(0,ROUND($R155*EFBPercent+EFBAdd,2)-$Q155),MIN(0,SUM($CS155:CX155)+MIN(0,ROUND($R155*EFBPercent+EFBAdd,2)-$Q155)))</f>
        <v>0</v>
      </c>
      <c r="DI155" s="73">
        <f t="shared" si="109"/>
        <v>2039435.91</v>
      </c>
      <c r="DJ155" s="73">
        <f t="shared" si="110"/>
        <v>129009.97</v>
      </c>
      <c r="DK155" s="73">
        <f t="shared" si="111"/>
        <v>0</v>
      </c>
      <c r="DL155" s="73">
        <f t="shared" si="112"/>
        <v>0</v>
      </c>
      <c r="DM155" s="73">
        <f t="shared" si="113"/>
        <v>0</v>
      </c>
      <c r="DN155" s="73">
        <f t="shared" si="114"/>
        <v>0</v>
      </c>
      <c r="DO155" s="73">
        <f t="shared" si="115"/>
        <v>0</v>
      </c>
      <c r="DP155" s="73"/>
      <c r="DQ155" s="73"/>
    </row>
    <row r="156" spans="1:121" ht="10.199999999999999" x14ac:dyDescent="0.2">
      <c r="A156" s="4" t="s">
        <v>678</v>
      </c>
      <c r="B156" s="188">
        <v>2528</v>
      </c>
      <c r="C156" s="189" t="s">
        <v>196</v>
      </c>
      <c r="D156" s="4">
        <v>2027</v>
      </c>
      <c r="E156" s="4" t="s">
        <v>1045</v>
      </c>
      <c r="F156" s="4">
        <v>7</v>
      </c>
      <c r="G156" s="4" t="s">
        <v>678</v>
      </c>
      <c r="H156" s="4">
        <v>0</v>
      </c>
      <c r="I156" s="4">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f t="shared" si="141"/>
        <v>0</v>
      </c>
      <c r="AP156" s="5">
        <v>0</v>
      </c>
      <c r="AQ156" s="5">
        <v>0</v>
      </c>
      <c r="AR156" s="5">
        <v>0</v>
      </c>
      <c r="AS156" s="5">
        <v>0</v>
      </c>
      <c r="AT156" s="5">
        <v>0</v>
      </c>
      <c r="AU156" s="5">
        <v>0</v>
      </c>
      <c r="AV156" s="5">
        <v>0</v>
      </c>
      <c r="AW156" s="5">
        <v>0</v>
      </c>
      <c r="AX156" s="5">
        <v>0</v>
      </c>
      <c r="AY156" s="199">
        <v>0</v>
      </c>
      <c r="AZ156" s="199">
        <v>0</v>
      </c>
      <c r="BA156" s="5">
        <v>0</v>
      </c>
      <c r="BB156" s="13">
        <v>0</v>
      </c>
      <c r="BC156" s="190">
        <f>MAX(ROUND(IF(F156&lt;4,IF(H156=0,(SUM(Y156:AD156)*Worksheet!$E$26+Y156*Worksheet!$E$27+AR156*Worksheet!$E$39)*-BaseRate,0)),2),MIN(0,-DI156))</f>
        <v>0</v>
      </c>
      <c r="BD156" s="190">
        <f>MAX(ROUND(IF(F156=4,0,IF(I156=0,0,ROUND(SUM(Y156:AD156)*Worksheet!$E$28,2)*-BaseRate)),2),MIN(0,-DI156-BC156))</f>
        <v>0</v>
      </c>
      <c r="BE156" s="130">
        <f t="shared" si="134"/>
        <v>0</v>
      </c>
      <c r="BF156" s="130">
        <f t="shared" si="135"/>
        <v>0</v>
      </c>
      <c r="BG156" s="73"/>
      <c r="BH156" s="191">
        <f t="shared" si="136"/>
        <v>0</v>
      </c>
      <c r="BI156" s="191">
        <f t="shared" si="137"/>
        <v>0</v>
      </c>
      <c r="BJ156" s="232">
        <f>IFERROR(ROUND(IF(AND(BB156*1.12&lt;N156*60/1000,N156/CL156&lt;STVPP*0.2),(CL156*STVPP*0.2*Worksheet!$F$88/1000-BB156*1.12)*PropTaxAdj,IF(BB156*1.12&lt;N156*60/1000,(N156*60/1000-BB156*1.12)*PropTaxAdj,0)),2),0)</f>
        <v>0</v>
      </c>
      <c r="BK156" s="192">
        <f>ROUND(IF($F156=4,0,Y156*Worksheet!$E$16),2)</f>
        <v>0</v>
      </c>
      <c r="BL156" s="192">
        <f>ROUND(IF($F156=4,0,Z156*Worksheet!$E$17),2)</f>
        <v>0</v>
      </c>
      <c r="BM156" s="192">
        <f>ROUND(IF($F156=4,0,AA156*Worksheet!$E$18),2)</f>
        <v>0</v>
      </c>
      <c r="BN156" s="192">
        <f>ROUND(IF($F156=4,0,AB156*Worksheet!$E$19),2)</f>
        <v>0</v>
      </c>
      <c r="BO156" s="192">
        <f>ROUND(IF($F156=4,0,AC156*Worksheet!$E$20),2)</f>
        <v>0</v>
      </c>
      <c r="BP156" s="192">
        <f>ROUND(AD156*Worksheet!$E$21,2)</f>
        <v>0</v>
      </c>
      <c r="BQ156" s="192">
        <f t="shared" si="105"/>
        <v>0</v>
      </c>
      <c r="BR156" s="192">
        <f>ROUND(AD156*Worksheet!$E$25,2)</f>
        <v>0</v>
      </c>
      <c r="BS156" s="192">
        <f>ROUND(SUM(BQ156)*Worksheet!$E$26,2)</f>
        <v>0</v>
      </c>
      <c r="BT156" s="192">
        <f>ROUND(Y156*Worksheet!$E$27,2)</f>
        <v>0</v>
      </c>
      <c r="BU156" s="192">
        <f>ROUND(AO156*Worksheet!$E$29,2)</f>
        <v>0</v>
      </c>
      <c r="BV156" s="192">
        <f>ROUND(AP156*Worksheet!$E$30,2)</f>
        <v>0</v>
      </c>
      <c r="BW156" s="192">
        <f>ROUND(IF($I156&lt;&gt;0,$BQ156*Worksheet!$E$28,0),2)</f>
        <v>0</v>
      </c>
      <c r="BX156" s="192">
        <f>ROUND(AE156*Worksheet!$E$31,2)</f>
        <v>0</v>
      </c>
      <c r="BY156" s="192">
        <f>ROUND(AF156*Worksheet!$E$32,2)</f>
        <v>0</v>
      </c>
      <c r="BZ156" s="192">
        <f>ROUND(AG156*Worksheet!$E$33,2)</f>
        <v>0</v>
      </c>
      <c r="CA156" s="192">
        <f>ROUND(ROUND(AH156*BQ156,2)*Worksheet!$E$34,2)</f>
        <v>0</v>
      </c>
      <c r="CB156" s="192">
        <f>ROUND(AI156*Worksheet!$E$35,2)</f>
        <v>0</v>
      </c>
      <c r="CC156" s="192">
        <f>ROUND(AJ156*Worksheet!$E$36,2)</f>
        <v>0</v>
      </c>
      <c r="CD156" s="192">
        <f>ROUND(AQ156*Worksheet!$E$38,2)</f>
        <v>0</v>
      </c>
      <c r="CE156" s="192">
        <f>ROUND(AR156*Worksheet!$E$39,2)</f>
        <v>0</v>
      </c>
      <c r="CF156" s="192">
        <f>IF(AND(L156&gt;275,SUM(Y156:AD156)&lt;100),ROUND(SUM(Y156:AD156)*Worksheet!$E$41,2),0)</f>
        <v>0</v>
      </c>
      <c r="CG156" s="192">
        <f>IF(AND(L156&gt;600,SUM(Y156:AD156)&lt;50),ROUND((50-SUM(Y156:AD156))*(Worksheet!$E$41+1),2),0)</f>
        <v>0</v>
      </c>
      <c r="CH156" s="192">
        <f t="shared" si="106"/>
        <v>0</v>
      </c>
      <c r="CI156" s="116">
        <f t="shared" si="142"/>
        <v>0</v>
      </c>
      <c r="CJ156" s="116">
        <f t="shared" si="143"/>
        <v>0</v>
      </c>
      <c r="CK156" s="95">
        <f t="shared" si="138"/>
        <v>0</v>
      </c>
      <c r="CL156" s="116">
        <f t="shared" si="144"/>
        <v>0</v>
      </c>
      <c r="CM156" s="116">
        <f t="shared" si="145"/>
        <v>0</v>
      </c>
      <c r="CN156" s="116">
        <f t="shared" si="139"/>
        <v>0</v>
      </c>
      <c r="CO156" s="131">
        <f>ROUND(IF(F156=4,0,(MAX(ROUND(MAX((BI156*MIN(CL156,K156)*Worksheet!$D$126)+MAX(CL156-K156,0)*Worksheet!$F$50,SUM(J156)),2),SUM(CN156))-SUM(CN156))*MinAdj),2)</f>
        <v>0</v>
      </c>
      <c r="CP156" s="192">
        <f t="shared" si="140"/>
        <v>0</v>
      </c>
      <c r="CQ156" s="131">
        <f>IF(CL156=0,0,-MIN(CP156,MIN(CP156,ROUND(IF(ROUND(IF(CL156=0,0,N156/CL156),2)&lt;STVPP*0.2,STVPP*0.2*CL156*Worksheet!$F$88/1000,N156*Worksheet!$F$88/1000),2))))</f>
        <v>0</v>
      </c>
      <c r="CR156" s="193">
        <f>-MIN(SUM(CP156,CQ156),IF($P156=0,(ROUND(Worksheet!$E$77*S156,2)+ROUND(Worksheet!$E$78*T156,2)+ROUND(Worksheet!$E$79*U156,2)+ROUND(Worksheet!$E$80*V156,2)+ROUND(Worksheet!$E$81*W156,2)+ROUND(Worksheet!$E$82*X156,2)),(ROUND(ROUND(S156*ROUND((1-$O156/$P156),4),2)*Worksheet!$E$77,2)+ROUND(ROUND(T156*ROUND((1-$O156/$P156),4),2)*Worksheet!$E$78,2)+ROUND(ROUND(U156*ROUND((1-$O156/$P156),4),2)*Worksheet!$E$79,2)+ROUND(ROUND(V156*ROUND((1-$O156/$P156),4),2)*Worksheet!$E$80,2)+ROUND(ROUND(W156*ROUND((1-$O156/$P156),4),2)*Worksheet!$E$81,2)+ROUND(ROUND(X156*ROUND((1-$O156/$P156),4),2)*Worksheet!$E$82,2))))</f>
        <v>0</v>
      </c>
      <c r="CS156" s="192">
        <f t="shared" si="107"/>
        <v>0</v>
      </c>
      <c r="CT156" s="116">
        <f>ROUND(MIN(BA156,ROUND((ROUND(AS156*Worksheet!$E$104,2)+ROUND(AV156*Worksheet!$E$107,2)+ROUND(AT156*Worksheet!$E$105,2)+ROUND(AW156*Worksheet!$E$108,2)+ROUND(AU156*Worksheet!$E$106,2)+ROUND(AX156*Worksheet!$E$109,2)+ROUND(AY156*Worksheet!$E$110,2)+ROUND(AZ156*Worksheet!$E$111,2))*Worksheet!$D$114,2))*BaseRate,2)</f>
        <v>0</v>
      </c>
      <c r="CU156" s="121">
        <v>0</v>
      </c>
      <c r="CV156" s="121">
        <v>0</v>
      </c>
      <c r="CW156" s="121">
        <v>0</v>
      </c>
      <c r="CX156" s="121">
        <v>0</v>
      </c>
      <c r="CY156" s="121">
        <v>0</v>
      </c>
      <c r="DA156" s="192">
        <f t="shared" si="108"/>
        <v>0</v>
      </c>
      <c r="DB156" s="192">
        <f>MAX(-CT156,MIN(0,ROUND($R156*EFBPercent+EFBAdd,2)-$Q156),MIN(0,SUM($CS156:CS156)+MIN(0,ROUND($R156*EFBPercent+EFBAdd,2)-$Q156)))</f>
        <v>0</v>
      </c>
      <c r="DC156" s="192">
        <f>IF(CU156&lt;0,0,MAX(-CU156,MIN(0,ROUND($R156*EFBPercent+EFBAdd,2)-$Q156),MIN(0,SUM($CS156:CT156)+MIN(0,ROUND($R156*EFBPercent+EFBAdd,2)-$Q156))))</f>
        <v>0</v>
      </c>
      <c r="DD156" s="192">
        <f>IF(CV156&lt;0,0,MAX(-CV156,MIN(0,ROUND($R156*EFBPercent+EFBAdd,2)-$Q156),MIN(0,SUM($CS156:CU156)+MIN(0,ROUND($R156*EFBPercent+EFBAdd,2)-$Q156))))</f>
        <v>0</v>
      </c>
      <c r="DE156" s="192">
        <f>IF(CW156&lt;0,0,MAX(-CW156,MIN(0,ROUND($R156*EFBPercent+EFBAdd,2)-$Q156),MIN(0,SUM($CS156:CV156)+MIN(0,ROUND($R156*EFBPercent+EFBAdd,2)-$Q156))))</f>
        <v>0</v>
      </c>
      <c r="DF156" s="192">
        <f>IF(CX156&lt;0,0,MAX(-CX156,MIN(0,ROUND($R156*EFBPercent+EFBAdd,2)-$Q156),MIN(0,SUM($CS156:CW156)+MIN(0,ROUND($R156*EFBPercent+EFBAdd,2)-$Q156))))</f>
        <v>0</v>
      </c>
      <c r="DG156" s="192">
        <f>MAX(-CY156,MIN(0,ROUND($R156*EFBPercent+EFBAdd,2)-$Q156),MIN(0,SUM($CS156:CX156)+MIN(0,ROUND($R156*EFBPercent+EFBAdd,2)-$Q156)))</f>
        <v>0</v>
      </c>
      <c r="DI156" s="73">
        <f t="shared" si="109"/>
        <v>0</v>
      </c>
      <c r="DJ156" s="73">
        <f t="shared" si="110"/>
        <v>0</v>
      </c>
      <c r="DK156" s="73">
        <f t="shared" si="111"/>
        <v>0</v>
      </c>
      <c r="DL156" s="73">
        <f t="shared" si="112"/>
        <v>0</v>
      </c>
      <c r="DM156" s="73">
        <f t="shared" si="113"/>
        <v>0</v>
      </c>
      <c r="DN156" s="73">
        <f t="shared" si="114"/>
        <v>0</v>
      </c>
      <c r="DO156" s="73">
        <f t="shared" si="115"/>
        <v>0</v>
      </c>
      <c r="DP156" s="73"/>
      <c r="DQ156" s="73"/>
    </row>
    <row r="157" spans="1:121" ht="10.199999999999999" x14ac:dyDescent="0.2">
      <c r="A157" s="4" t="s">
        <v>620</v>
      </c>
      <c r="B157" s="188">
        <v>1104</v>
      </c>
      <c r="C157" s="189" t="s">
        <v>144</v>
      </c>
      <c r="D157" s="4">
        <v>2027</v>
      </c>
      <c r="E157" s="4" t="s">
        <v>457</v>
      </c>
      <c r="F157" s="4">
        <v>1</v>
      </c>
      <c r="G157" s="4" t="s">
        <v>676</v>
      </c>
      <c r="H157" s="4">
        <v>100</v>
      </c>
      <c r="I157" s="4" t="s">
        <v>853</v>
      </c>
      <c r="J157" s="5">
        <v>2914924.74</v>
      </c>
      <c r="K157" s="5">
        <v>302.19</v>
      </c>
      <c r="L157" s="5">
        <v>193.12</v>
      </c>
      <c r="M157" s="5">
        <v>0</v>
      </c>
      <c r="N157" s="5">
        <v>9969629</v>
      </c>
      <c r="O157" s="5">
        <v>0</v>
      </c>
      <c r="P157" s="5">
        <v>102.98</v>
      </c>
      <c r="Q157" s="5">
        <v>0</v>
      </c>
      <c r="R157" s="5">
        <v>0</v>
      </c>
      <c r="S157" s="5">
        <v>5653.89</v>
      </c>
      <c r="T157" s="5">
        <v>0</v>
      </c>
      <c r="U157" s="5">
        <v>0</v>
      </c>
      <c r="V157" s="5">
        <v>10298.780000000001</v>
      </c>
      <c r="W157" s="5">
        <v>9141.52</v>
      </c>
      <c r="X157" s="5">
        <v>4023.08</v>
      </c>
      <c r="Y157" s="5">
        <v>0</v>
      </c>
      <c r="Z157" s="5">
        <v>13</v>
      </c>
      <c r="AA157" s="5">
        <v>106</v>
      </c>
      <c r="AB157" s="5">
        <v>37</v>
      </c>
      <c r="AC157" s="5">
        <v>55</v>
      </c>
      <c r="AD157" s="5">
        <v>0</v>
      </c>
      <c r="AE157" s="5">
        <v>1</v>
      </c>
      <c r="AF157" s="5">
        <v>6</v>
      </c>
      <c r="AG157" s="5">
        <v>13.31</v>
      </c>
      <c r="AH157" s="5">
        <v>0.42199999999999999</v>
      </c>
      <c r="AI157" s="5">
        <v>0</v>
      </c>
      <c r="AJ157" s="5">
        <v>0</v>
      </c>
      <c r="AK157" s="5">
        <v>0</v>
      </c>
      <c r="AL157" s="5">
        <v>204.54</v>
      </c>
      <c r="AM157" s="5">
        <v>0</v>
      </c>
      <c r="AN157" s="5">
        <v>211</v>
      </c>
      <c r="AO157" s="5">
        <f t="shared" si="141"/>
        <v>0</v>
      </c>
      <c r="AP157" s="5">
        <f t="shared" ref="AP157:AP163" si="148">IF(AM157&gt;0,SUM(Z157:AD157)-AN157,0)</f>
        <v>0</v>
      </c>
      <c r="AQ157" s="5">
        <v>2.58</v>
      </c>
      <c r="AR157" s="5">
        <v>0.06</v>
      </c>
      <c r="AS157" s="5">
        <v>10200</v>
      </c>
      <c r="AT157" s="5">
        <v>46710</v>
      </c>
      <c r="AU157" s="5">
        <v>340</v>
      </c>
      <c r="AV157" s="5">
        <v>1038</v>
      </c>
      <c r="AW157" s="5">
        <v>193.12</v>
      </c>
      <c r="AX157" s="5">
        <v>2</v>
      </c>
      <c r="AY157" s="199">
        <v>0</v>
      </c>
      <c r="AZ157" s="199">
        <v>0</v>
      </c>
      <c r="BA157" s="5">
        <v>157426.23999999999</v>
      </c>
      <c r="BB157" s="13">
        <v>578265.18000000005</v>
      </c>
      <c r="BC157" s="190">
        <f>MAX(ROUND(IF(F157&lt;4,IF(H157=0,(SUM(Y157:AD157)*Worksheet!$E$26+Y157*Worksheet!$E$27+AR157*Worksheet!$E$39)*-BaseRate,0)),2),MIN(0,-DI157))</f>
        <v>0</v>
      </c>
      <c r="BD157" s="190">
        <f>MAX(ROUND(IF(F157=4,0,IF(I157=0,0,ROUND(SUM(Y157:AD157)*Worksheet!$E$28,2)*-BaseRate)),2),MIN(0,-DI157-BC157))</f>
        <v>-4885.8599999999997</v>
      </c>
      <c r="BE157" s="130">
        <f t="shared" si="134"/>
        <v>0</v>
      </c>
      <c r="BF157" s="130">
        <f t="shared" si="135"/>
        <v>1408</v>
      </c>
      <c r="BG157" s="73"/>
      <c r="BH157" s="191">
        <f t="shared" si="136"/>
        <v>33144.82</v>
      </c>
      <c r="BI157" s="191">
        <f t="shared" si="137"/>
        <v>9646</v>
      </c>
      <c r="BJ157" s="232">
        <f>IFERROR(ROUND(IF(AND(BB157*1.12&lt;N157*60/1000,N157/CL157&lt;STVPP*0.2),(CL157*STVPP*0.2*Worksheet!$F$88/1000-BB157*1.12)*PropTaxAdj,IF(BB157*1.12&lt;N157*60/1000,(N157*60/1000-BB157*1.12)*PropTaxAdj,0)),2),0)</f>
        <v>0</v>
      </c>
      <c r="BK157" s="192">
        <f>ROUND(IF($F157=4,0,Y157*Worksheet!$E$16),2)</f>
        <v>0</v>
      </c>
      <c r="BL157" s="192">
        <f>ROUND(IF($F157=4,0,Z157*Worksheet!$E$17),2)</f>
        <v>13</v>
      </c>
      <c r="BM157" s="192">
        <f>ROUND(IF($F157=4,0,AA157*Worksheet!$E$18),2)</f>
        <v>106</v>
      </c>
      <c r="BN157" s="192">
        <f>ROUND(IF($F157=4,0,AB157*Worksheet!$E$19),2)</f>
        <v>37</v>
      </c>
      <c r="BO157" s="192">
        <f>ROUND(IF($F157=4,0,AC157*Worksheet!$E$20),2)</f>
        <v>55</v>
      </c>
      <c r="BP157" s="192">
        <f>ROUND(AD157*Worksheet!$E$21,2)</f>
        <v>0</v>
      </c>
      <c r="BQ157" s="192">
        <f t="shared" si="105"/>
        <v>211</v>
      </c>
      <c r="BR157" s="192">
        <f>ROUND(AD157*Worksheet!$E$25,2)</f>
        <v>0</v>
      </c>
      <c r="BS157" s="192">
        <f>ROUND(SUM(BQ157)*Worksheet!$E$26,2)</f>
        <v>18.57</v>
      </c>
      <c r="BT157" s="192">
        <f>ROUND(Y157*Worksheet!$E$27,2)</f>
        <v>0</v>
      </c>
      <c r="BU157" s="192">
        <f>ROUND(AO157*Worksheet!$E$29,2)</f>
        <v>0</v>
      </c>
      <c r="BV157" s="192">
        <f>ROUND(AP157*Worksheet!$E$30,2)</f>
        <v>0</v>
      </c>
      <c r="BW157" s="192">
        <f>ROUND(IF($I157&lt;&gt;0,$BQ157*Worksheet!$E$28,0),2)</f>
        <v>0.42</v>
      </c>
      <c r="BX157" s="192">
        <f>ROUND(AE157*Worksheet!$E$31,2)</f>
        <v>0.4</v>
      </c>
      <c r="BY157" s="192">
        <f>ROUND(AF157*Worksheet!$E$32,2)</f>
        <v>1.68</v>
      </c>
      <c r="BZ157" s="192">
        <f>ROUND(AG157*Worksheet!$E$33,2)</f>
        <v>0.93</v>
      </c>
      <c r="CA157" s="192">
        <f>ROUND(ROUND(AH157*BQ157,2)*Worksheet!$E$34,2)</f>
        <v>2.23</v>
      </c>
      <c r="CB157" s="192">
        <f>ROUND(AI157*Worksheet!$E$35,2)</f>
        <v>0</v>
      </c>
      <c r="CC157" s="192">
        <f>ROUND(AJ157*Worksheet!$E$36,2)</f>
        <v>0</v>
      </c>
      <c r="CD157" s="192">
        <f>ROUND(AQ157*Worksheet!$E$38,2)</f>
        <v>1.55</v>
      </c>
      <c r="CE157" s="192">
        <f>ROUND(AR157*Worksheet!$E$39,2)</f>
        <v>0.06</v>
      </c>
      <c r="CF157" s="192">
        <f>IF(AND(L157&gt;275,SUM(Y157:AD157)&lt;100),ROUND(SUM(Y157:AD157)*Worksheet!$E$41,2),0)</f>
        <v>0</v>
      </c>
      <c r="CG157" s="192">
        <f>IF(AND(L157&gt;600,SUM(Y157:AD157)&lt;50),ROUND((50-SUM(Y157:AD157))*(Worksheet!$E$41+1),2),0)</f>
        <v>0</v>
      </c>
      <c r="CH157" s="192">
        <f t="shared" si="106"/>
        <v>236.84</v>
      </c>
      <c r="CI157" s="116">
        <f t="shared" si="142"/>
        <v>0</v>
      </c>
      <c r="CJ157" s="116">
        <f t="shared" si="143"/>
        <v>236.84</v>
      </c>
      <c r="CK157" s="95">
        <f t="shared" si="138"/>
        <v>1.27</v>
      </c>
      <c r="CL157" s="116">
        <f t="shared" si="144"/>
        <v>300.79000000000002</v>
      </c>
      <c r="CM157" s="116">
        <f t="shared" si="145"/>
        <v>300.79000000000002</v>
      </c>
      <c r="CN157" s="116">
        <f t="shared" si="139"/>
        <v>3499090.07</v>
      </c>
      <c r="CO157" s="131">
        <f>ROUND(IF(F157=4,0,(MAX(ROUND(MAX((BI157*MIN(CL157,K157)*Worksheet!$D$126)+MAX(CL157-K157,0)*Worksheet!$F$50,SUM(J157)),2),SUM(CN157))-SUM(CN157))*MinAdj),2)</f>
        <v>0</v>
      </c>
      <c r="CP157" s="192">
        <f t="shared" si="140"/>
        <v>3499090.07</v>
      </c>
      <c r="CQ157" s="131">
        <f>IF(CL157=0,0,-MIN(CP157,MIN(CP157,ROUND(IF(ROUND(IF(CL157=0,0,N157/CL157),2)&lt;STVPP*0.2,STVPP*0.2*CL157*Worksheet!$F$88/1000,N157*Worksheet!$F$88/1000),2))))</f>
        <v>-598177.74</v>
      </c>
      <c r="CR157" s="193">
        <f>-MIN(SUM(CP157,CQ157),IF($P157=0,(ROUND(Worksheet!$E$77*S157,2)+ROUND(Worksheet!$E$78*T157,2)+ROUND(Worksheet!$E$79*U157,2)+ROUND(Worksheet!$E$80*V157,2)+ROUND(Worksheet!$E$81*W157,2)+ROUND(Worksheet!$E$82*X157,2)),(ROUND(ROUND(S157*ROUND((1-$O157/$P157),4),2)*Worksheet!$E$77,2)+ROUND(ROUND(T157*ROUND((1-$O157/$P157),4),2)*Worksheet!$E$78,2)+ROUND(ROUND(U157*ROUND((1-$O157/$P157),4),2)*Worksheet!$E$79,2)+ROUND(ROUND(V157*ROUND((1-$O157/$P157),4),2)*Worksheet!$E$80,2)+ROUND(ROUND(W157*ROUND((1-$O157/$P157),4),2)*Worksheet!$E$81,2)+ROUND(ROUND(X157*ROUND((1-$O157/$P157),4),2)*Worksheet!$E$82,2))))</f>
        <v>-21837.960000000003</v>
      </c>
      <c r="CS157" s="192">
        <f t="shared" si="107"/>
        <v>2879074.37</v>
      </c>
      <c r="CT157" s="116">
        <f>ROUND(MIN(BA157,ROUND((ROUND(AS157*Worksheet!$E$104,2)+ROUND(AV157*Worksheet!$E$107,2)+ROUND(AT157*Worksheet!$E$105,2)+ROUND(AW157*Worksheet!$E$108,2)+ROUND(AU157*Worksheet!$E$106,2)+ROUND(AX157*Worksheet!$E$109,2)+ROUND(AY157*Worksheet!$E$110,2)+ROUND(AZ157*Worksheet!$E$111,2))*Worksheet!$D$114,2))*BaseRate,2)</f>
        <v>79337.06</v>
      </c>
      <c r="CU157" s="121">
        <v>0</v>
      </c>
      <c r="CV157" s="121">
        <v>0</v>
      </c>
      <c r="CW157" s="121">
        <v>0</v>
      </c>
      <c r="CX157" s="121">
        <v>0</v>
      </c>
      <c r="CY157" s="121">
        <v>0</v>
      </c>
      <c r="DA157" s="192">
        <f t="shared" si="108"/>
        <v>0</v>
      </c>
      <c r="DB157" s="192">
        <f>MAX(-CT157,MIN(0,ROUND($R157*EFBPercent+EFBAdd,2)-$Q157),MIN(0,SUM($CS157:CS157)+MIN(0,ROUND($R157*EFBPercent+EFBAdd,2)-$Q157)))</f>
        <v>0</v>
      </c>
      <c r="DC157" s="192">
        <f>IF(CU157&lt;0,0,MAX(-CU157,MIN(0,ROUND($R157*EFBPercent+EFBAdd,2)-$Q157),MIN(0,SUM($CS157:CT157)+MIN(0,ROUND($R157*EFBPercent+EFBAdd,2)-$Q157))))</f>
        <v>0</v>
      </c>
      <c r="DD157" s="192">
        <f>IF(CV157&lt;0,0,MAX(-CV157,MIN(0,ROUND($R157*EFBPercent+EFBAdd,2)-$Q157),MIN(0,SUM($CS157:CU157)+MIN(0,ROUND($R157*EFBPercent+EFBAdd,2)-$Q157))))</f>
        <v>0</v>
      </c>
      <c r="DE157" s="192">
        <f>IF(CW157&lt;0,0,MAX(-CW157,MIN(0,ROUND($R157*EFBPercent+EFBAdd,2)-$Q157),MIN(0,SUM($CS157:CV157)+MIN(0,ROUND($R157*EFBPercent+EFBAdd,2)-$Q157))))</f>
        <v>0</v>
      </c>
      <c r="DF157" s="192">
        <f>IF(CX157&lt;0,0,MAX(-CX157,MIN(0,ROUND($R157*EFBPercent+EFBAdd,2)-$Q157),MIN(0,SUM($CS157:CW157)+MIN(0,ROUND($R157*EFBPercent+EFBAdd,2)-$Q157))))</f>
        <v>0</v>
      </c>
      <c r="DG157" s="192">
        <f>MAX(-CY157,MIN(0,ROUND($R157*EFBPercent+EFBAdd,2)-$Q157),MIN(0,SUM($CS157:CX157)+MIN(0,ROUND($R157*EFBPercent+EFBAdd,2)-$Q157)))</f>
        <v>0</v>
      </c>
      <c r="DI157" s="73">
        <f t="shared" si="109"/>
        <v>2879074.37</v>
      </c>
      <c r="DJ157" s="73">
        <f t="shared" si="110"/>
        <v>79337.06</v>
      </c>
      <c r="DK157" s="73">
        <f t="shared" si="111"/>
        <v>0</v>
      </c>
      <c r="DL157" s="73">
        <f t="shared" si="112"/>
        <v>0</v>
      </c>
      <c r="DM157" s="73">
        <f t="shared" si="113"/>
        <v>0</v>
      </c>
      <c r="DN157" s="73">
        <f t="shared" si="114"/>
        <v>0</v>
      </c>
      <c r="DO157" s="73">
        <f t="shared" si="115"/>
        <v>0</v>
      </c>
      <c r="DP157" s="73"/>
      <c r="DQ157" s="73"/>
    </row>
    <row r="158" spans="1:121" ht="10.199999999999999" x14ac:dyDescent="0.2">
      <c r="A158" s="4" t="s">
        <v>621</v>
      </c>
      <c r="B158" s="188">
        <v>1124</v>
      </c>
      <c r="C158" s="189" t="s">
        <v>145</v>
      </c>
      <c r="D158" s="4">
        <v>2027</v>
      </c>
      <c r="E158" s="4" t="s">
        <v>920</v>
      </c>
      <c r="F158" s="4">
        <v>1</v>
      </c>
      <c r="G158" s="4" t="s">
        <v>676</v>
      </c>
      <c r="H158" s="4">
        <v>100</v>
      </c>
      <c r="I158" s="4" t="s">
        <v>853</v>
      </c>
      <c r="J158" s="5">
        <v>2832162.06</v>
      </c>
      <c r="K158" s="5">
        <v>293.61</v>
      </c>
      <c r="L158" s="5">
        <v>117</v>
      </c>
      <c r="M158" s="5">
        <v>0</v>
      </c>
      <c r="N158" s="5">
        <v>9554208</v>
      </c>
      <c r="O158" s="5">
        <v>0</v>
      </c>
      <c r="P158" s="5">
        <v>97.76</v>
      </c>
      <c r="Q158" s="5">
        <v>0</v>
      </c>
      <c r="R158" s="5">
        <v>0</v>
      </c>
      <c r="S158" s="5">
        <v>2420</v>
      </c>
      <c r="T158" s="5">
        <v>0</v>
      </c>
      <c r="U158" s="5">
        <v>0</v>
      </c>
      <c r="V158" s="5">
        <v>4510.4800000000005</v>
      </c>
      <c r="W158" s="5">
        <v>3418.44</v>
      </c>
      <c r="X158" s="5">
        <v>34661.340000000004</v>
      </c>
      <c r="Y158" s="5">
        <v>0.89</v>
      </c>
      <c r="Z158" s="5">
        <v>8</v>
      </c>
      <c r="AA158" s="5">
        <v>68</v>
      </c>
      <c r="AB158" s="5">
        <v>24</v>
      </c>
      <c r="AC158" s="5">
        <v>67</v>
      </c>
      <c r="AD158" s="5">
        <v>0</v>
      </c>
      <c r="AE158" s="5">
        <v>0.95</v>
      </c>
      <c r="AF158" s="5">
        <v>0.95</v>
      </c>
      <c r="AG158" s="5">
        <v>2</v>
      </c>
      <c r="AH158" s="5">
        <v>0.58699999999999997</v>
      </c>
      <c r="AI158" s="5">
        <v>0</v>
      </c>
      <c r="AJ158" s="5">
        <v>0</v>
      </c>
      <c r="AK158" s="5">
        <v>0</v>
      </c>
      <c r="AL158" s="5">
        <v>163.01999999999998</v>
      </c>
      <c r="AM158" s="5">
        <v>0</v>
      </c>
      <c r="AN158" s="5">
        <v>167</v>
      </c>
      <c r="AO158" s="5">
        <f t="shared" si="141"/>
        <v>0</v>
      </c>
      <c r="AP158" s="5">
        <f t="shared" si="148"/>
        <v>0</v>
      </c>
      <c r="AQ158" s="5">
        <v>5.36</v>
      </c>
      <c r="AR158" s="5">
        <v>0.11</v>
      </c>
      <c r="AS158" s="5">
        <v>0</v>
      </c>
      <c r="AT158" s="5">
        <v>43776</v>
      </c>
      <c r="AU158" s="5">
        <v>0</v>
      </c>
      <c r="AV158" s="5">
        <v>684</v>
      </c>
      <c r="AW158" s="5">
        <v>117</v>
      </c>
      <c r="AX158" s="5">
        <v>1</v>
      </c>
      <c r="AY158" s="199">
        <v>0</v>
      </c>
      <c r="AZ158" s="199">
        <v>0</v>
      </c>
      <c r="BA158" s="5">
        <v>89096.4</v>
      </c>
      <c r="BB158" s="13">
        <v>547475.57999999996</v>
      </c>
      <c r="BC158" s="190">
        <f>MAX(ROUND(IF(F158&lt;4,IF(H158=0,(SUM(Y158:AD158)*Worksheet!$E$26+Y158*Worksheet!$E$27+AR158*Worksheet!$E$39)*-BaseRate,0)),2),MIN(0,-DI158))</f>
        <v>0</v>
      </c>
      <c r="BD158" s="190">
        <f>MAX(ROUND(IF(F158=4,0,IF(I158=0,0,ROUND(SUM(Y158:AD158)*Worksheet!$E$28,2)*-BaseRate)),2),MIN(0,-DI158-BC158))</f>
        <v>-3955.22</v>
      </c>
      <c r="BE158" s="130">
        <f t="shared" si="134"/>
        <v>0</v>
      </c>
      <c r="BF158" s="130">
        <f t="shared" si="135"/>
        <v>1408</v>
      </c>
      <c r="BG158" s="73"/>
      <c r="BH158" s="191">
        <f t="shared" si="136"/>
        <v>37401.480000000003</v>
      </c>
      <c r="BI158" s="191">
        <f t="shared" si="137"/>
        <v>9646</v>
      </c>
      <c r="BJ158" s="232">
        <f>IFERROR(ROUND(IF(AND(BB158*1.12&lt;N158*60/1000,N158/CL158&lt;STVPP*0.2),(CL158*STVPP*0.2*Worksheet!$F$88/1000-BB158*1.12)*PropTaxAdj,IF(BB158*1.12&lt;N158*60/1000,(N158*60/1000-BB158*1.12)*PropTaxAdj,0)),2),0)</f>
        <v>0</v>
      </c>
      <c r="BK158" s="192">
        <f>ROUND(IF($F158=4,0,Y158*Worksheet!$E$16),2)</f>
        <v>0.89</v>
      </c>
      <c r="BL158" s="192">
        <f>ROUND(IF($F158=4,0,Z158*Worksheet!$E$17),2)</f>
        <v>8</v>
      </c>
      <c r="BM158" s="192">
        <f>ROUND(IF($F158=4,0,AA158*Worksheet!$E$18),2)</f>
        <v>68</v>
      </c>
      <c r="BN158" s="192">
        <f>ROUND(IF($F158=4,0,AB158*Worksheet!$E$19),2)</f>
        <v>24</v>
      </c>
      <c r="BO158" s="192">
        <f>ROUND(IF($F158=4,0,AC158*Worksheet!$E$20),2)</f>
        <v>67</v>
      </c>
      <c r="BP158" s="192">
        <f>ROUND(AD158*Worksheet!$E$21,2)</f>
        <v>0</v>
      </c>
      <c r="BQ158" s="192">
        <f t="shared" si="105"/>
        <v>167.89</v>
      </c>
      <c r="BR158" s="192">
        <f>ROUND(AD158*Worksheet!$E$25,2)</f>
        <v>0</v>
      </c>
      <c r="BS158" s="192">
        <f>ROUND(SUM(BQ158)*Worksheet!$E$26,2)</f>
        <v>14.77</v>
      </c>
      <c r="BT158" s="192">
        <f>ROUND(Y158*Worksheet!$E$27,2)</f>
        <v>0.15</v>
      </c>
      <c r="BU158" s="192">
        <f>ROUND(AO158*Worksheet!$E$29,2)</f>
        <v>0</v>
      </c>
      <c r="BV158" s="192">
        <f>ROUND(AP158*Worksheet!$E$30,2)</f>
        <v>0</v>
      </c>
      <c r="BW158" s="192">
        <f>ROUND(IF($I158&lt;&gt;0,$BQ158*Worksheet!$E$28,0),2)</f>
        <v>0.34</v>
      </c>
      <c r="BX158" s="192">
        <f>ROUND(AE158*Worksheet!$E$31,2)</f>
        <v>0.38</v>
      </c>
      <c r="BY158" s="192">
        <f>ROUND(AF158*Worksheet!$E$32,2)</f>
        <v>0.27</v>
      </c>
      <c r="BZ158" s="192">
        <f>ROUND(AG158*Worksheet!$E$33,2)</f>
        <v>0.14000000000000001</v>
      </c>
      <c r="CA158" s="192">
        <f>ROUND(ROUND(AH158*BQ158,2)*Worksheet!$E$34,2)</f>
        <v>2.46</v>
      </c>
      <c r="CB158" s="192">
        <f>ROUND(AI158*Worksheet!$E$35,2)</f>
        <v>0</v>
      </c>
      <c r="CC158" s="192">
        <f>ROUND(AJ158*Worksheet!$E$36,2)</f>
        <v>0</v>
      </c>
      <c r="CD158" s="192">
        <f>ROUND(AQ158*Worksheet!$E$38,2)</f>
        <v>3.22</v>
      </c>
      <c r="CE158" s="192">
        <f>ROUND(AR158*Worksheet!$E$39,2)</f>
        <v>0.11</v>
      </c>
      <c r="CF158" s="192">
        <f>IF(AND(L158&gt;275,SUM(Y158:AD158)&lt;100),ROUND(SUM(Y158:AD158)*Worksheet!$E$41,2),0)</f>
        <v>0</v>
      </c>
      <c r="CG158" s="192">
        <f>IF(AND(L158&gt;600,SUM(Y158:AD158)&lt;50),ROUND((50-SUM(Y158:AD158))*(Worksheet!$E$41+1),2),0)</f>
        <v>0</v>
      </c>
      <c r="CH158" s="192">
        <f t="shared" si="106"/>
        <v>189.73000000000002</v>
      </c>
      <c r="CI158" s="116">
        <f t="shared" si="142"/>
        <v>0</v>
      </c>
      <c r="CJ158" s="116">
        <f t="shared" si="143"/>
        <v>189.73000000000002</v>
      </c>
      <c r="CK158" s="95">
        <f t="shared" si="138"/>
        <v>1.3464</v>
      </c>
      <c r="CL158" s="116">
        <f t="shared" si="144"/>
        <v>255.45</v>
      </c>
      <c r="CM158" s="116">
        <f t="shared" si="145"/>
        <v>255.45</v>
      </c>
      <c r="CN158" s="116">
        <f t="shared" si="139"/>
        <v>2971649.85</v>
      </c>
      <c r="CO158" s="131">
        <f>ROUND(IF(F158=4,0,(MAX(ROUND(MAX((BI158*MIN(CL158,K158)*Worksheet!$D$126)+MAX(CL158-K158,0)*Worksheet!$F$50,SUM(J158)),2),SUM(CN158))-SUM(CN158))*MinAdj),2)</f>
        <v>0</v>
      </c>
      <c r="CP158" s="192">
        <f t="shared" si="140"/>
        <v>2971649.85</v>
      </c>
      <c r="CQ158" s="131">
        <f>IF(CL158=0,0,-MIN(CP158,MIN(CP158,ROUND(IF(ROUND(IF(CL158=0,0,N158/CL158),2)&lt;STVPP*0.2,STVPP*0.2*CL158*Worksheet!$F$88/1000,N158*Worksheet!$F$88/1000),2))))</f>
        <v>-573252.48</v>
      </c>
      <c r="CR158" s="193">
        <f>-MIN(SUM(CP158,CQ158),IF($P158=0,(ROUND(Worksheet!$E$77*S158,2)+ROUND(Worksheet!$E$78*T158,2)+ROUND(Worksheet!$E$79*U158,2)+ROUND(Worksheet!$E$80*V158,2)+ROUND(Worksheet!$E$81*W158,2)+ROUND(Worksheet!$E$82*X158,2)),(ROUND(ROUND(S158*ROUND((1-$O158/$P158),4),2)*Worksheet!$E$77,2)+ROUND(ROUND(T158*ROUND((1-$O158/$P158),4),2)*Worksheet!$E$78,2)+ROUND(ROUND(U158*ROUND((1-$O158/$P158),4),2)*Worksheet!$E$79,2)+ROUND(ROUND(V158*ROUND((1-$O158/$P158),4),2)*Worksheet!$E$80,2)+ROUND(ROUND(W158*ROUND((1-$O158/$P158),4),2)*Worksheet!$E$81,2)+ROUND(ROUND(X158*ROUND((1-$O158/$P158),4),2)*Worksheet!$E$82,2))))</f>
        <v>-33757.699999999997</v>
      </c>
      <c r="CS158" s="192">
        <f t="shared" si="107"/>
        <v>2364639.67</v>
      </c>
      <c r="CT158" s="116">
        <f>ROUND(MIN(BA158,ROUND((ROUND(AS158*Worksheet!$E$104,2)+ROUND(AV158*Worksheet!$E$107,2)+ROUND(AT158*Worksheet!$E$105,2)+ROUND(AW158*Worksheet!$E$108,2)+ROUND(AU158*Worksheet!$E$106,2)+ROUND(AX158*Worksheet!$E$109,2)+ROUND(AY158*Worksheet!$E$110,2)+ROUND(AZ158*Worksheet!$E$111,2))*Worksheet!$D$114,2))*BaseRate,2)</f>
        <v>61771.23</v>
      </c>
      <c r="CU158" s="121">
        <v>0</v>
      </c>
      <c r="CV158" s="121">
        <v>0</v>
      </c>
      <c r="CW158" s="121">
        <v>0</v>
      </c>
      <c r="CX158" s="121">
        <v>0</v>
      </c>
      <c r="CY158" s="121">
        <v>0</v>
      </c>
      <c r="DA158" s="192">
        <f t="shared" si="108"/>
        <v>0</v>
      </c>
      <c r="DB158" s="192">
        <f>MAX(-CT158,MIN(0,ROUND($R158*EFBPercent+EFBAdd,2)-$Q158),MIN(0,SUM($CS158:CS158)+MIN(0,ROUND($R158*EFBPercent+EFBAdd,2)-$Q158)))</f>
        <v>0</v>
      </c>
      <c r="DC158" s="192">
        <f>IF(CU158&lt;0,0,MAX(-CU158,MIN(0,ROUND($R158*EFBPercent+EFBAdd,2)-$Q158),MIN(0,SUM($CS158:CT158)+MIN(0,ROUND($R158*EFBPercent+EFBAdd,2)-$Q158))))</f>
        <v>0</v>
      </c>
      <c r="DD158" s="192">
        <f>IF(CV158&lt;0,0,MAX(-CV158,MIN(0,ROUND($R158*EFBPercent+EFBAdd,2)-$Q158),MIN(0,SUM($CS158:CU158)+MIN(0,ROUND($R158*EFBPercent+EFBAdd,2)-$Q158))))</f>
        <v>0</v>
      </c>
      <c r="DE158" s="192">
        <f>IF(CW158&lt;0,0,MAX(-CW158,MIN(0,ROUND($R158*EFBPercent+EFBAdd,2)-$Q158),MIN(0,SUM($CS158:CV158)+MIN(0,ROUND($R158*EFBPercent+EFBAdd,2)-$Q158))))</f>
        <v>0</v>
      </c>
      <c r="DF158" s="192">
        <f>IF(CX158&lt;0,0,MAX(-CX158,MIN(0,ROUND($R158*EFBPercent+EFBAdd,2)-$Q158),MIN(0,SUM($CS158:CW158)+MIN(0,ROUND($R158*EFBPercent+EFBAdd,2)-$Q158))))</f>
        <v>0</v>
      </c>
      <c r="DG158" s="192">
        <f>MAX(-CY158,MIN(0,ROUND($R158*EFBPercent+EFBAdd,2)-$Q158),MIN(0,SUM($CS158:CX158)+MIN(0,ROUND($R158*EFBPercent+EFBAdd,2)-$Q158)))</f>
        <v>0</v>
      </c>
      <c r="DI158" s="73">
        <f t="shared" si="109"/>
        <v>2364639.67</v>
      </c>
      <c r="DJ158" s="73">
        <f t="shared" si="110"/>
        <v>61771.23</v>
      </c>
      <c r="DK158" s="73">
        <f t="shared" si="111"/>
        <v>0</v>
      </c>
      <c r="DL158" s="73">
        <f t="shared" si="112"/>
        <v>0</v>
      </c>
      <c r="DM158" s="73">
        <f t="shared" si="113"/>
        <v>0</v>
      </c>
      <c r="DN158" s="73">
        <f t="shared" si="114"/>
        <v>0</v>
      </c>
      <c r="DO158" s="73">
        <f t="shared" si="115"/>
        <v>0</v>
      </c>
      <c r="DP158" s="73"/>
      <c r="DQ158" s="73"/>
    </row>
    <row r="159" spans="1:121" ht="10.199999999999999" x14ac:dyDescent="0.2">
      <c r="A159" s="4" t="s">
        <v>622</v>
      </c>
      <c r="B159" s="188">
        <v>1141</v>
      </c>
      <c r="C159" s="189" t="s">
        <v>146</v>
      </c>
      <c r="D159" s="4">
        <v>2027</v>
      </c>
      <c r="E159" s="4" t="s">
        <v>458</v>
      </c>
      <c r="F159" s="4">
        <v>1</v>
      </c>
      <c r="G159" s="4" t="s">
        <v>676</v>
      </c>
      <c r="H159" s="4">
        <v>100</v>
      </c>
      <c r="I159" s="4" t="s">
        <v>853</v>
      </c>
      <c r="J159" s="5">
        <v>3009597.81</v>
      </c>
      <c r="K159" s="5">
        <v>229.84</v>
      </c>
      <c r="L159" s="5">
        <v>476.39</v>
      </c>
      <c r="M159" s="5">
        <v>0</v>
      </c>
      <c r="N159" s="5">
        <v>20717429</v>
      </c>
      <c r="O159" s="5">
        <v>0</v>
      </c>
      <c r="P159" s="5">
        <v>89</v>
      </c>
      <c r="Q159" s="5">
        <v>0</v>
      </c>
      <c r="R159" s="5">
        <v>0</v>
      </c>
      <c r="S159" s="5">
        <v>0</v>
      </c>
      <c r="T159" s="5">
        <v>0</v>
      </c>
      <c r="U159" s="5">
        <v>0</v>
      </c>
      <c r="V159" s="5">
        <v>28635.58</v>
      </c>
      <c r="W159" s="5">
        <v>32951.86</v>
      </c>
      <c r="X159" s="5">
        <v>15734.13</v>
      </c>
      <c r="Y159" s="5">
        <v>0.14000000000000001</v>
      </c>
      <c r="Z159" s="5">
        <v>14</v>
      </c>
      <c r="AA159" s="5">
        <v>77</v>
      </c>
      <c r="AB159" s="5">
        <v>32</v>
      </c>
      <c r="AC159" s="5">
        <v>51</v>
      </c>
      <c r="AD159" s="5">
        <v>0</v>
      </c>
      <c r="AE159" s="5">
        <v>0</v>
      </c>
      <c r="AF159" s="5">
        <v>0</v>
      </c>
      <c r="AG159" s="5">
        <v>0</v>
      </c>
      <c r="AH159" s="5">
        <v>0.187</v>
      </c>
      <c r="AI159" s="5">
        <v>0</v>
      </c>
      <c r="AJ159" s="5">
        <v>0</v>
      </c>
      <c r="AK159" s="5">
        <v>0</v>
      </c>
      <c r="AL159" s="5">
        <v>168.44</v>
      </c>
      <c r="AM159" s="5">
        <v>2.5699999999999932</v>
      </c>
      <c r="AN159" s="5">
        <v>174</v>
      </c>
      <c r="AO159" s="5">
        <f t="shared" si="141"/>
        <v>0</v>
      </c>
      <c r="AP159" s="5">
        <f t="shared" si="148"/>
        <v>0</v>
      </c>
      <c r="AQ159" s="5">
        <v>2.0499999999999998</v>
      </c>
      <c r="AR159" s="5">
        <v>0.03</v>
      </c>
      <c r="AS159" s="5">
        <v>0</v>
      </c>
      <c r="AT159" s="5">
        <v>71056</v>
      </c>
      <c r="AU159" s="5">
        <v>0</v>
      </c>
      <c r="AV159" s="5">
        <v>1432</v>
      </c>
      <c r="AW159" s="5">
        <v>476.39</v>
      </c>
      <c r="AX159" s="5">
        <v>1</v>
      </c>
      <c r="AY159" s="199">
        <v>0</v>
      </c>
      <c r="AZ159" s="199">
        <v>0</v>
      </c>
      <c r="BA159" s="5">
        <v>231957.6</v>
      </c>
      <c r="BB159" s="13">
        <v>1193785.98</v>
      </c>
      <c r="BC159" s="190">
        <f>MAX(ROUND(IF(F159&lt;4,IF(H159=0,(SUM(Y159:AD159)*Worksheet!$E$26+Y159*Worksheet!$E$27+AR159*Worksheet!$E$39)*-BaseRate,0)),2),MIN(0,-DI159))</f>
        <v>0</v>
      </c>
      <c r="BD159" s="190">
        <f>MAX(ROUND(IF(F159=4,0,IF(I159=0,0,ROUND(SUM(Y159:AD159)*Worksheet!$E$28,2)*-BaseRate)),2),MIN(0,-DI159-BC159))</f>
        <v>-4071.55</v>
      </c>
      <c r="BE159" s="130">
        <f t="shared" si="134"/>
        <v>0</v>
      </c>
      <c r="BF159" s="130">
        <f t="shared" si="135"/>
        <v>1408</v>
      </c>
      <c r="BG159" s="73"/>
      <c r="BH159" s="191">
        <f t="shared" si="136"/>
        <v>80565.539999999994</v>
      </c>
      <c r="BI159" s="191">
        <f t="shared" si="137"/>
        <v>13094.32</v>
      </c>
      <c r="BJ159" s="232">
        <f>IFERROR(ROUND(IF(AND(BB159*1.12&lt;N159*60/1000,N159/CL159&lt;STVPP*0.2),(CL159*STVPP*0.2*Worksheet!$F$88/1000-BB159*1.12)*PropTaxAdj,IF(BB159*1.12&lt;N159*60/1000,(N159*60/1000-BB159*1.12)*PropTaxAdj,0)),2),0)</f>
        <v>0</v>
      </c>
      <c r="BK159" s="192">
        <f>ROUND(IF($F159=4,0,Y159*Worksheet!$E$16),2)</f>
        <v>0.14000000000000001</v>
      </c>
      <c r="BL159" s="192">
        <f>ROUND(IF($F159=4,0,Z159*Worksheet!$E$17),2)</f>
        <v>14</v>
      </c>
      <c r="BM159" s="192">
        <f>ROUND(IF($F159=4,0,AA159*Worksheet!$E$18),2)</f>
        <v>77</v>
      </c>
      <c r="BN159" s="192">
        <f>ROUND(IF($F159=4,0,AB159*Worksheet!$E$19),2)</f>
        <v>32</v>
      </c>
      <c r="BO159" s="192">
        <f>ROUND(IF($F159=4,0,AC159*Worksheet!$E$20),2)</f>
        <v>51</v>
      </c>
      <c r="BP159" s="192">
        <f>ROUND(AD159*Worksheet!$E$21,2)</f>
        <v>0</v>
      </c>
      <c r="BQ159" s="192">
        <f t="shared" si="105"/>
        <v>174.14</v>
      </c>
      <c r="BR159" s="192">
        <f>ROUND(AD159*Worksheet!$E$25,2)</f>
        <v>0</v>
      </c>
      <c r="BS159" s="192">
        <f>ROUND(SUM(BQ159)*Worksheet!$E$26,2)</f>
        <v>15.32</v>
      </c>
      <c r="BT159" s="192">
        <f>ROUND(Y159*Worksheet!$E$27,2)</f>
        <v>0.02</v>
      </c>
      <c r="BU159" s="192">
        <f>ROUND(AO159*Worksheet!$E$29,2)</f>
        <v>0</v>
      </c>
      <c r="BV159" s="192">
        <f>ROUND(AP159*Worksheet!$E$30,2)</f>
        <v>0</v>
      </c>
      <c r="BW159" s="192">
        <f>ROUND(IF($I159&lt;&gt;0,$BQ159*Worksheet!$E$28,0),2)</f>
        <v>0.35</v>
      </c>
      <c r="BX159" s="192">
        <f>ROUND(AE159*Worksheet!$E$31,2)</f>
        <v>0</v>
      </c>
      <c r="BY159" s="192">
        <f>ROUND(AF159*Worksheet!$E$32,2)</f>
        <v>0</v>
      </c>
      <c r="BZ159" s="192">
        <f>ROUND(AG159*Worksheet!$E$33,2)</f>
        <v>0</v>
      </c>
      <c r="CA159" s="192">
        <f>ROUND(ROUND(AH159*BQ159,2)*Worksheet!$E$34,2)</f>
        <v>0.81</v>
      </c>
      <c r="CB159" s="192">
        <f>ROUND(AI159*Worksheet!$E$35,2)</f>
        <v>0</v>
      </c>
      <c r="CC159" s="192">
        <f>ROUND(AJ159*Worksheet!$E$36,2)</f>
        <v>0</v>
      </c>
      <c r="CD159" s="192">
        <f>ROUND(AQ159*Worksheet!$E$38,2)</f>
        <v>1.23</v>
      </c>
      <c r="CE159" s="192">
        <f>ROUND(AR159*Worksheet!$E$39,2)</f>
        <v>0.03</v>
      </c>
      <c r="CF159" s="192">
        <f>IF(AND(L159&gt;275,SUM(Y159:AD159)&lt;100),ROUND(SUM(Y159:AD159)*Worksheet!$E$41,2),0)</f>
        <v>0</v>
      </c>
      <c r="CG159" s="192">
        <f>IF(AND(L159&gt;600,SUM(Y159:AD159)&lt;50),ROUND((50-SUM(Y159:AD159))*(Worksheet!$E$41+1),2),0)</f>
        <v>0</v>
      </c>
      <c r="CH159" s="192">
        <f t="shared" si="106"/>
        <v>191.89999999999998</v>
      </c>
      <c r="CI159" s="116">
        <f t="shared" si="142"/>
        <v>0</v>
      </c>
      <c r="CJ159" s="116">
        <f t="shared" si="143"/>
        <v>191.89999999999998</v>
      </c>
      <c r="CK159" s="95">
        <f t="shared" si="138"/>
        <v>1.34</v>
      </c>
      <c r="CL159" s="116">
        <f t="shared" si="144"/>
        <v>257.14999999999998</v>
      </c>
      <c r="CM159" s="116">
        <f t="shared" si="145"/>
        <v>257.14999999999998</v>
      </c>
      <c r="CN159" s="116">
        <f t="shared" si="139"/>
        <v>2991425.95</v>
      </c>
      <c r="CO159" s="131">
        <f>ROUND(IF(F159=4,0,(MAX(ROUND(MAX((BI159*MIN(CL159,K159)*Worksheet!$D$126)+MAX(CL159-K159,0)*Worksheet!$F$50,SUM(J159)),2),SUM(CN159))-SUM(CN159))*MinAdj),2)</f>
        <v>59409.26</v>
      </c>
      <c r="CP159" s="192">
        <f t="shared" si="140"/>
        <v>3050835.21</v>
      </c>
      <c r="CQ159" s="131">
        <f>IF(CL159=0,0,-MIN(CP159,MIN(CP159,ROUND(IF(ROUND(IF(CL159=0,0,N159/CL159),2)&lt;STVPP*0.2,STVPP*0.2*CL159*Worksheet!$F$88/1000,N159*Worksheet!$F$88/1000),2))))</f>
        <v>-1243045.74</v>
      </c>
      <c r="CR159" s="193">
        <f>-MIN(SUM(CP159,CQ159),IF($P159=0,(ROUND(Worksheet!$E$77*S159,2)+ROUND(Worksheet!$E$78*T159,2)+ROUND(Worksheet!$E$79*U159,2)+ROUND(Worksheet!$E$80*V159,2)+ROUND(Worksheet!$E$81*W159,2)+ROUND(Worksheet!$E$82*X159,2)),(ROUND(ROUND(S159*ROUND((1-$O159/$P159),4),2)*Worksheet!$E$77,2)+ROUND(ROUND(T159*ROUND((1-$O159/$P159),4),2)*Worksheet!$E$78,2)+ROUND(ROUND(U159*ROUND((1-$O159/$P159),4),2)*Worksheet!$E$79,2)+ROUND(ROUND(V159*ROUND((1-$O159/$P159),4),2)*Worksheet!$E$80,2)+ROUND(ROUND(W159*ROUND((1-$O159/$P159),4),2)*Worksheet!$E$81,2)+ROUND(ROUND(X159*ROUND((1-$O159/$P159),4),2)*Worksheet!$E$82,2))))</f>
        <v>-57991.189999999995</v>
      </c>
      <c r="CS159" s="192">
        <f t="shared" si="107"/>
        <v>1749798.28</v>
      </c>
      <c r="CT159" s="116">
        <f>ROUND(MIN(BA159,ROUND((ROUND(AS159*Worksheet!$E$104,2)+ROUND(AV159*Worksheet!$E$107,2)+ROUND(AT159*Worksheet!$E$105,2)+ROUND(AW159*Worksheet!$E$108,2)+ROUND(AU159*Worksheet!$E$106,2)+ROUND(AX159*Worksheet!$E$109,2)+ROUND(AY159*Worksheet!$E$110,2)+ROUND(AZ159*Worksheet!$E$111,2))*Worksheet!$D$114,2))*BaseRate,2)</f>
        <v>106092.96</v>
      </c>
      <c r="CU159" s="121">
        <v>0</v>
      </c>
      <c r="CV159" s="121">
        <v>0</v>
      </c>
      <c r="CW159" s="121">
        <v>0</v>
      </c>
      <c r="CX159" s="121">
        <v>0</v>
      </c>
      <c r="CY159" s="121">
        <v>0</v>
      </c>
      <c r="DA159" s="192">
        <f t="shared" si="108"/>
        <v>0</v>
      </c>
      <c r="DB159" s="192">
        <f>MAX(-CT159,MIN(0,ROUND($R159*EFBPercent+EFBAdd,2)-$Q159),MIN(0,SUM($CS159:CS159)+MIN(0,ROUND($R159*EFBPercent+EFBAdd,2)-$Q159)))</f>
        <v>0</v>
      </c>
      <c r="DC159" s="192">
        <f>IF(CU159&lt;0,0,MAX(-CU159,MIN(0,ROUND($R159*EFBPercent+EFBAdd,2)-$Q159),MIN(0,SUM($CS159:CT159)+MIN(0,ROUND($R159*EFBPercent+EFBAdd,2)-$Q159))))</f>
        <v>0</v>
      </c>
      <c r="DD159" s="192">
        <f>IF(CV159&lt;0,0,MAX(-CV159,MIN(0,ROUND($R159*EFBPercent+EFBAdd,2)-$Q159),MIN(0,SUM($CS159:CU159)+MIN(0,ROUND($R159*EFBPercent+EFBAdd,2)-$Q159))))</f>
        <v>0</v>
      </c>
      <c r="DE159" s="192">
        <f>IF(CW159&lt;0,0,MAX(-CW159,MIN(0,ROUND($R159*EFBPercent+EFBAdd,2)-$Q159),MIN(0,SUM($CS159:CV159)+MIN(0,ROUND($R159*EFBPercent+EFBAdd,2)-$Q159))))</f>
        <v>0</v>
      </c>
      <c r="DF159" s="192">
        <f>IF(CX159&lt;0,0,MAX(-CX159,MIN(0,ROUND($R159*EFBPercent+EFBAdd,2)-$Q159),MIN(0,SUM($CS159:CW159)+MIN(0,ROUND($R159*EFBPercent+EFBAdd,2)-$Q159))))</f>
        <v>0</v>
      </c>
      <c r="DG159" s="192">
        <f>MAX(-CY159,MIN(0,ROUND($R159*EFBPercent+EFBAdd,2)-$Q159),MIN(0,SUM($CS159:CX159)+MIN(0,ROUND($R159*EFBPercent+EFBAdd,2)-$Q159)))</f>
        <v>0</v>
      </c>
      <c r="DI159" s="73">
        <f t="shared" si="109"/>
        <v>1749798.28</v>
      </c>
      <c r="DJ159" s="73">
        <f t="shared" si="110"/>
        <v>106092.96</v>
      </c>
      <c r="DK159" s="73">
        <f t="shared" si="111"/>
        <v>0</v>
      </c>
      <c r="DL159" s="73">
        <f t="shared" si="112"/>
        <v>0</v>
      </c>
      <c r="DM159" s="73">
        <f t="shared" si="113"/>
        <v>0</v>
      </c>
      <c r="DN159" s="73">
        <f t="shared" si="114"/>
        <v>0</v>
      </c>
      <c r="DO159" s="73">
        <f t="shared" si="115"/>
        <v>0</v>
      </c>
      <c r="DP159" s="73"/>
      <c r="DQ159" s="73"/>
    </row>
    <row r="160" spans="1:121" ht="10.199999999999999" x14ac:dyDescent="0.2">
      <c r="A160" s="4" t="s">
        <v>1127</v>
      </c>
      <c r="B160" s="198">
        <v>1098</v>
      </c>
      <c r="C160" s="199" t="s">
        <v>1132</v>
      </c>
      <c r="D160" s="4">
        <v>2027</v>
      </c>
      <c r="E160" s="4" t="s">
        <v>1128</v>
      </c>
      <c r="F160" s="4">
        <v>1</v>
      </c>
      <c r="G160" s="4" t="s">
        <v>1130</v>
      </c>
      <c r="H160" s="4">
        <v>100</v>
      </c>
      <c r="I160" s="4" t="s">
        <v>1091</v>
      </c>
      <c r="J160" s="5">
        <v>2079251.26</v>
      </c>
      <c r="K160" s="5">
        <v>178.41</v>
      </c>
      <c r="L160" s="5">
        <v>693</v>
      </c>
      <c r="M160" s="5">
        <v>0</v>
      </c>
      <c r="N160" s="5">
        <v>11198787</v>
      </c>
      <c r="O160" s="5">
        <v>0</v>
      </c>
      <c r="P160" s="5">
        <v>76</v>
      </c>
      <c r="Q160" s="5">
        <v>0</v>
      </c>
      <c r="R160" s="5">
        <v>0</v>
      </c>
      <c r="S160" s="5">
        <v>1500.23</v>
      </c>
      <c r="T160" s="5">
        <v>0</v>
      </c>
      <c r="U160" s="5">
        <v>0</v>
      </c>
      <c r="V160" s="5">
        <v>12844.97</v>
      </c>
      <c r="W160" s="5">
        <v>20058.16</v>
      </c>
      <c r="X160" s="5">
        <v>23001.279999999999</v>
      </c>
      <c r="Y160" s="5">
        <v>0.35</v>
      </c>
      <c r="Z160" s="5">
        <v>8</v>
      </c>
      <c r="AA160" s="5">
        <v>47</v>
      </c>
      <c r="AB160" s="5">
        <v>21</v>
      </c>
      <c r="AC160" s="5">
        <v>25</v>
      </c>
      <c r="AD160" s="5">
        <v>0</v>
      </c>
      <c r="AE160" s="5">
        <v>0</v>
      </c>
      <c r="AF160" s="5">
        <v>0</v>
      </c>
      <c r="AG160" s="5">
        <v>0</v>
      </c>
      <c r="AH160" s="5">
        <v>0.51600000000000001</v>
      </c>
      <c r="AI160" s="5">
        <v>0</v>
      </c>
      <c r="AJ160" s="5">
        <v>0</v>
      </c>
      <c r="AK160" s="5">
        <v>0</v>
      </c>
      <c r="AL160" s="5">
        <v>100</v>
      </c>
      <c r="AM160" s="5">
        <v>0</v>
      </c>
      <c r="AN160" s="5">
        <v>101</v>
      </c>
      <c r="AO160" s="5">
        <f t="shared" si="141"/>
        <v>0</v>
      </c>
      <c r="AP160" s="5">
        <f t="shared" si="148"/>
        <v>0</v>
      </c>
      <c r="AQ160" s="5">
        <v>1.17</v>
      </c>
      <c r="AR160" s="5">
        <v>0</v>
      </c>
      <c r="AS160" s="5">
        <v>0</v>
      </c>
      <c r="AT160" s="5">
        <v>76650</v>
      </c>
      <c r="AU160" s="5">
        <v>0</v>
      </c>
      <c r="AV160" s="5">
        <v>1400</v>
      </c>
      <c r="AW160" s="5">
        <v>693</v>
      </c>
      <c r="AX160" s="5">
        <v>1</v>
      </c>
      <c r="AY160" s="199">
        <v>0</v>
      </c>
      <c r="AZ160" s="199">
        <v>0</v>
      </c>
      <c r="BA160" s="5">
        <v>134382.87</v>
      </c>
      <c r="BB160" s="13">
        <v>655770.78</v>
      </c>
      <c r="BC160" s="190">
        <f>MAX(ROUND(IF(F160&lt;4,IF(H160=0,(SUM(Y160:AD160)*Worksheet!$E$26+Y160*Worksheet!$E$27+AR160*Worksheet!$E$39)*-BaseRate,0)),2),MIN(0,-DI160))</f>
        <v>0</v>
      </c>
      <c r="BD160" s="190">
        <f>MAX(ROUND(IF(F160=4,0,IF(I160=0,0,ROUND(SUM(Y160:AD160)*Worksheet!$E$28,2)*-BaseRate)),2),MIN(0,-DI160-BC160))</f>
        <v>-2326.6</v>
      </c>
      <c r="BE160" s="130">
        <f t="shared" si="134"/>
        <v>0</v>
      </c>
      <c r="BF160" s="130">
        <f t="shared" si="135"/>
        <v>1403</v>
      </c>
      <c r="BG160" s="73"/>
      <c r="BH160" s="191">
        <f t="shared" si="136"/>
        <v>59587.03</v>
      </c>
      <c r="BI160" s="191">
        <f t="shared" si="137"/>
        <v>11654.34</v>
      </c>
      <c r="BJ160" s="232">
        <f>IFERROR(ROUND(IF(AND(BB160*1.12&lt;N160*60/1000,N160/CL160&lt;STVPP*0.2),(CL160*STVPP*0.2*Worksheet!$F$88/1000-BB160*1.12)*PropTaxAdj,IF(BB160*1.12&lt;N160*60/1000,(N160*60/1000-BB160*1.12)*PropTaxAdj,0)),2),0)</f>
        <v>0</v>
      </c>
      <c r="BK160" s="192">
        <f>ROUND(IF($F160=4,0,Y160*Worksheet!$E$16),2)</f>
        <v>0.35</v>
      </c>
      <c r="BL160" s="192">
        <f>ROUND(IF($F160=4,0,Z160*Worksheet!$E$17),2)</f>
        <v>8</v>
      </c>
      <c r="BM160" s="192">
        <f>ROUND(IF($F160=4,0,AA160*Worksheet!$E$18),2)</f>
        <v>47</v>
      </c>
      <c r="BN160" s="192">
        <f>ROUND(IF($F160=4,0,AB160*Worksheet!$E$19),2)</f>
        <v>21</v>
      </c>
      <c r="BO160" s="192">
        <f>ROUND(IF($F160=4,0,AC160*Worksheet!$E$20),2)</f>
        <v>25</v>
      </c>
      <c r="BP160" s="192">
        <f>ROUND(AD160*Worksheet!$E$21,2)</f>
        <v>0</v>
      </c>
      <c r="BQ160" s="192">
        <f t="shared" si="105"/>
        <v>101.35</v>
      </c>
      <c r="BR160" s="192">
        <f>ROUND(AD160*Worksheet!$E$25,2)</f>
        <v>0</v>
      </c>
      <c r="BS160" s="192">
        <f>ROUND(SUM(BQ160)*Worksheet!$E$26,2)</f>
        <v>8.92</v>
      </c>
      <c r="BT160" s="192">
        <f>ROUND(Y160*Worksheet!$E$27,2)</f>
        <v>0.06</v>
      </c>
      <c r="BU160" s="192">
        <f>ROUND(AO160*Worksheet!$E$29,2)</f>
        <v>0</v>
      </c>
      <c r="BV160" s="192">
        <f>ROUND(AP160*Worksheet!$E$30,2)</f>
        <v>0</v>
      </c>
      <c r="BW160" s="192">
        <f>ROUND(IF($I160&lt;&gt;0,$BQ160*Worksheet!$E$28,0),2)</f>
        <v>0.2</v>
      </c>
      <c r="BX160" s="192">
        <f>ROUND(AE160*Worksheet!$E$31,2)</f>
        <v>0</v>
      </c>
      <c r="BY160" s="192">
        <f>ROUND(AF160*Worksheet!$E$32,2)</f>
        <v>0</v>
      </c>
      <c r="BZ160" s="192">
        <f>ROUND(AG160*Worksheet!$E$33,2)</f>
        <v>0</v>
      </c>
      <c r="CA160" s="192">
        <f>ROUND(ROUND(AH160*BQ160,2)*Worksheet!$E$34,2)</f>
        <v>1.31</v>
      </c>
      <c r="CB160" s="192">
        <f>ROUND(AI160*Worksheet!$E$35,2)</f>
        <v>0</v>
      </c>
      <c r="CC160" s="192">
        <f>ROUND(AJ160*Worksheet!$E$36,2)</f>
        <v>0</v>
      </c>
      <c r="CD160" s="192">
        <f>ROUND(AQ160*Worksheet!$E$38,2)</f>
        <v>0.7</v>
      </c>
      <c r="CE160" s="192">
        <f>ROUND(AR160*Worksheet!$E$39,2)</f>
        <v>0</v>
      </c>
      <c r="CF160" s="192">
        <f>IF(AND(L160&gt;275,SUM(Y160:AD160)&lt;100),ROUND(SUM(Y160:AD160)*Worksheet!$E$41,2),0)</f>
        <v>0</v>
      </c>
      <c r="CG160" s="192">
        <f>IF(AND(L160&gt;600,SUM(Y160:AD160)&lt;50),ROUND((50-SUM(Y160:AD160))*(Worksheet!$E$41+1),2),0)</f>
        <v>0</v>
      </c>
      <c r="CH160" s="192">
        <f t="shared" si="106"/>
        <v>112.54</v>
      </c>
      <c r="CI160" s="116">
        <f t="shared" si="142"/>
        <v>0</v>
      </c>
      <c r="CJ160" s="116">
        <f t="shared" si="143"/>
        <v>112.54</v>
      </c>
      <c r="CK160" s="95">
        <f t="shared" si="138"/>
        <v>1.67</v>
      </c>
      <c r="CL160" s="116">
        <f t="shared" si="144"/>
        <v>187.94</v>
      </c>
      <c r="CM160" s="116">
        <f t="shared" si="145"/>
        <v>187.94</v>
      </c>
      <c r="CN160" s="116">
        <f t="shared" si="139"/>
        <v>2186306.02</v>
      </c>
      <c r="CO160" s="131">
        <f>ROUND(IF(F160=4,0,(MAX(ROUND(MAX((BI160*MIN(CL160,K160)*Worksheet!$D$126)+MAX(CL160-K160,0)*Worksheet!$F$50,SUM(J160)),2),SUM(CN160))-SUM(CN160))*MinAdj),2)</f>
        <v>6808.84</v>
      </c>
      <c r="CP160" s="192">
        <f t="shared" si="140"/>
        <v>2193114.86</v>
      </c>
      <c r="CQ160" s="131">
        <f>IF(CL160=0,0,-MIN(CP160,MIN(CP160,ROUND(IF(ROUND(IF(CL160=0,0,N160/CL160),2)&lt;STVPP*0.2,STVPP*0.2*CL160*Worksheet!$F$88/1000,N160*Worksheet!$F$88/1000),2))))</f>
        <v>-671927.22</v>
      </c>
      <c r="CR160" s="193">
        <f>-MIN(SUM(CP160,CQ160),IF($P160=0,(ROUND(Worksheet!$E$77*S160,2)+ROUND(Worksheet!$E$78*T160,2)+ROUND(Worksheet!$E$79*U160,2)+ROUND(Worksheet!$E$80*V160,2)+ROUND(Worksheet!$E$81*W160,2)+ROUND(Worksheet!$E$82*X160,2)),(ROUND(ROUND(S160*ROUND((1-$O160/$P160),4),2)*Worksheet!$E$77,2)+ROUND(ROUND(T160*ROUND((1-$O160/$P160),4),2)*Worksheet!$E$78,2)+ROUND(ROUND(U160*ROUND((1-$O160/$P160),4),2)*Worksheet!$E$79,2)+ROUND(ROUND(V160*ROUND((1-$O160/$P160),4),2)*Worksheet!$E$80,2)+ROUND(ROUND(W160*ROUND((1-$O160/$P160),4),2)*Worksheet!$E$81,2)+ROUND(ROUND(X160*ROUND((1-$O160/$P160),4),2)*Worksheet!$E$82,2))))</f>
        <v>-43053.479999999996</v>
      </c>
      <c r="CS160" s="192">
        <f t="shared" si="107"/>
        <v>1478134.16</v>
      </c>
      <c r="CT160" s="116">
        <f>ROUND(MIN(BA160,ROUND((ROUND(AS160*Worksheet!$E$104,2)+ROUND(AV160*Worksheet!$E$107,2)+ROUND(AT160*Worksheet!$E$105,2)+ROUND(AW160*Worksheet!$E$108,2)+ROUND(AU160*Worksheet!$E$106,2)+ROUND(AX160*Worksheet!$E$109,2)+ROUND(AY160*Worksheet!$E$110,2)+ROUND(AZ160*Worksheet!$E$111,2))*Worksheet!$D$114,2))*BaseRate,2)</f>
        <v>115050.37</v>
      </c>
      <c r="CU160" s="121">
        <v>0</v>
      </c>
      <c r="CV160" s="121">
        <v>0</v>
      </c>
      <c r="CW160" s="121">
        <v>0</v>
      </c>
      <c r="CX160" s="121">
        <v>0</v>
      </c>
      <c r="CY160" s="121">
        <v>0</v>
      </c>
      <c r="DA160" s="192">
        <f t="shared" si="108"/>
        <v>0</v>
      </c>
      <c r="DB160" s="192">
        <f>MAX(-CT160,MIN(0,ROUND($R160*EFBPercent+EFBAdd,2)-$Q160),MIN(0,SUM($CS160:CS160)+MIN(0,ROUND($R160*EFBPercent+EFBAdd,2)-$Q160)))</f>
        <v>0</v>
      </c>
      <c r="DC160" s="192">
        <f>IF(CU160&lt;0,0,MAX(-CU160,MIN(0,ROUND($R160*EFBPercent+EFBAdd,2)-$Q160),MIN(0,SUM($CS160:CT160)+MIN(0,ROUND($R160*EFBPercent+EFBAdd,2)-$Q160))))</f>
        <v>0</v>
      </c>
      <c r="DD160" s="192">
        <f>IF(CV160&lt;0,0,MAX(-CV160,MIN(0,ROUND($R160*EFBPercent+EFBAdd,2)-$Q160),MIN(0,SUM($CS160:CU160)+MIN(0,ROUND($R160*EFBPercent+EFBAdd,2)-$Q160))))</f>
        <v>0</v>
      </c>
      <c r="DE160" s="192">
        <f>IF(CW160&lt;0,0,MAX(-CW160,MIN(0,ROUND($R160*EFBPercent+EFBAdd,2)-$Q160),MIN(0,SUM($CS160:CV160)+MIN(0,ROUND($R160*EFBPercent+EFBAdd,2)-$Q160))))</f>
        <v>0</v>
      </c>
      <c r="DF160" s="192">
        <f>IF(CX160&lt;0,0,MAX(-CX160,MIN(0,ROUND($R160*EFBPercent+EFBAdd,2)-$Q160),MIN(0,SUM($CS160:CW160)+MIN(0,ROUND($R160*EFBPercent+EFBAdd,2)-$Q160))))</f>
        <v>0</v>
      </c>
      <c r="DG160" s="192">
        <f>MAX(-CY160,MIN(0,ROUND($R160*EFBPercent+EFBAdd,2)-$Q160),MIN(0,SUM($CS160:CX160)+MIN(0,ROUND($R160*EFBPercent+EFBAdd,2)-$Q160)))</f>
        <v>0</v>
      </c>
      <c r="DI160" s="73">
        <f t="shared" si="109"/>
        <v>1478134.16</v>
      </c>
      <c r="DJ160" s="73">
        <f t="shared" si="110"/>
        <v>115050.37</v>
      </c>
      <c r="DK160" s="73">
        <f t="shared" si="111"/>
        <v>0</v>
      </c>
      <c r="DL160" s="73">
        <f t="shared" si="112"/>
        <v>0</v>
      </c>
      <c r="DM160" s="73">
        <f t="shared" si="113"/>
        <v>0</v>
      </c>
      <c r="DN160" s="73">
        <f t="shared" si="114"/>
        <v>0</v>
      </c>
      <c r="DO160" s="73">
        <f t="shared" si="115"/>
        <v>0</v>
      </c>
      <c r="DP160" s="73"/>
      <c r="DQ160" s="73"/>
    </row>
    <row r="161" spans="1:121" ht="10.199999999999999" x14ac:dyDescent="0.2">
      <c r="A161" s="4" t="s">
        <v>623</v>
      </c>
      <c r="B161" s="188">
        <v>1145</v>
      </c>
      <c r="C161" s="189" t="s">
        <v>147</v>
      </c>
      <c r="D161" s="4">
        <v>2027</v>
      </c>
      <c r="E161" s="4" t="s">
        <v>459</v>
      </c>
      <c r="F161" s="4">
        <v>1</v>
      </c>
      <c r="G161" s="4" t="s">
        <v>672</v>
      </c>
      <c r="H161" s="4">
        <v>100</v>
      </c>
      <c r="I161" s="4" t="s">
        <v>1091</v>
      </c>
      <c r="J161" s="5">
        <v>2174711.1800000002</v>
      </c>
      <c r="K161" s="5">
        <v>243.03</v>
      </c>
      <c r="L161" s="5">
        <v>314.75</v>
      </c>
      <c r="M161" s="5">
        <v>0</v>
      </c>
      <c r="N161" s="280">
        <v>2757400</v>
      </c>
      <c r="O161" s="5">
        <v>0</v>
      </c>
      <c r="P161" s="5">
        <v>63.88</v>
      </c>
      <c r="Q161" s="5">
        <v>0</v>
      </c>
      <c r="R161" s="5">
        <v>0</v>
      </c>
      <c r="S161" s="5">
        <v>0</v>
      </c>
      <c r="T161" s="5">
        <v>0</v>
      </c>
      <c r="U161" s="5">
        <v>0</v>
      </c>
      <c r="V161" s="5">
        <v>26274.63</v>
      </c>
      <c r="W161" s="5">
        <v>922.97</v>
      </c>
      <c r="X161" s="5">
        <v>6186.4</v>
      </c>
      <c r="Y161" s="5">
        <v>5</v>
      </c>
      <c r="Z161" s="5">
        <v>10</v>
      </c>
      <c r="AA161" s="5">
        <v>106</v>
      </c>
      <c r="AB161" s="5">
        <v>23</v>
      </c>
      <c r="AC161" s="5">
        <v>40</v>
      </c>
      <c r="AD161" s="5">
        <v>0</v>
      </c>
      <c r="AE161" s="5">
        <v>0</v>
      </c>
      <c r="AF161" s="5">
        <v>0</v>
      </c>
      <c r="AG161" s="5">
        <v>0</v>
      </c>
      <c r="AH161" s="5">
        <v>0.95</v>
      </c>
      <c r="AI161" s="5">
        <v>0</v>
      </c>
      <c r="AJ161" s="5">
        <v>0</v>
      </c>
      <c r="AK161" s="5">
        <v>0</v>
      </c>
      <c r="AL161" s="5">
        <v>182.25</v>
      </c>
      <c r="AM161" s="5">
        <v>0</v>
      </c>
      <c r="AN161" s="5">
        <v>179</v>
      </c>
      <c r="AO161" s="5">
        <f t="shared" si="141"/>
        <v>3.25</v>
      </c>
      <c r="AP161" s="5">
        <f t="shared" si="148"/>
        <v>0</v>
      </c>
      <c r="AQ161" s="5">
        <v>0.63</v>
      </c>
      <c r="AR161" s="5">
        <v>0</v>
      </c>
      <c r="AS161" s="5">
        <v>0</v>
      </c>
      <c r="AT161" s="5">
        <v>86088</v>
      </c>
      <c r="AU161" s="5">
        <v>0</v>
      </c>
      <c r="AV161" s="5">
        <v>1360</v>
      </c>
      <c r="AW161" s="5">
        <v>314.75</v>
      </c>
      <c r="AX161" s="5">
        <v>2</v>
      </c>
      <c r="AY161" s="199">
        <v>0</v>
      </c>
      <c r="AZ161" s="199">
        <v>0</v>
      </c>
      <c r="BA161" s="5">
        <v>392395.69</v>
      </c>
      <c r="BB161" s="13">
        <v>139635.37</v>
      </c>
      <c r="BC161" s="190">
        <f>MAX(ROUND(IF(F161&lt;4,IF(H161=0,(SUM(Y161:AD161)*Worksheet!$E$26+Y161*Worksheet!$E$27+AR161*Worksheet!$E$39)*-BaseRate,0)),2),MIN(0,-DI161))</f>
        <v>0</v>
      </c>
      <c r="BD161" s="190">
        <f>MAX(ROUND(IF(F161=4,0,IF(I161=0,0,ROUND(SUM(Y161:AD161)*Worksheet!$E$28,2)*-BaseRate)),2),MIN(0,-DI161-BC161))</f>
        <v>-4304.21</v>
      </c>
      <c r="BE161" s="130">
        <f t="shared" si="134"/>
        <v>0</v>
      </c>
      <c r="BF161" s="130">
        <f t="shared" si="135"/>
        <v>1403</v>
      </c>
      <c r="BG161" s="73"/>
      <c r="BH161" s="191">
        <f t="shared" si="136"/>
        <v>9975.4</v>
      </c>
      <c r="BI161" s="191">
        <f t="shared" si="137"/>
        <v>8948.32</v>
      </c>
      <c r="BJ161" s="232">
        <f>IFERROR(ROUND(IF(AND(BB161*1.12&lt;N161*60/1000,N161/CL161&lt;STVPP*0.2),(CL161*STVPP*0.2*Worksheet!$F$88/1000-BB161*1.12)*PropTaxAdj,IF(BB161*1.12&lt;N161*60/1000,(N161*60/1000-BB161*1.12)*PropTaxAdj,0)),2),0)</f>
        <v>7241.91</v>
      </c>
      <c r="BK161" s="192">
        <f>ROUND(IF($F161=4,0,Y161*Worksheet!$E$16),2)</f>
        <v>5</v>
      </c>
      <c r="BL161" s="192">
        <f>ROUND(IF($F161=4,0,Z161*Worksheet!$E$17),2)</f>
        <v>10</v>
      </c>
      <c r="BM161" s="192">
        <f>ROUND(IF($F161=4,0,AA161*Worksheet!$E$18),2)</f>
        <v>106</v>
      </c>
      <c r="BN161" s="192">
        <f>ROUND(IF($F161=4,0,AB161*Worksheet!$E$19),2)</f>
        <v>23</v>
      </c>
      <c r="BO161" s="192">
        <f>ROUND(IF($F161=4,0,AC161*Worksheet!$E$20),2)</f>
        <v>40</v>
      </c>
      <c r="BP161" s="192">
        <f>ROUND(AD161*Worksheet!$E$21,2)</f>
        <v>0</v>
      </c>
      <c r="BQ161" s="192">
        <f t="shared" si="105"/>
        <v>184</v>
      </c>
      <c r="BR161" s="192">
        <f>ROUND(AD161*Worksheet!$E$25,2)</f>
        <v>0</v>
      </c>
      <c r="BS161" s="192">
        <f>ROUND(SUM(BQ161)*Worksheet!$E$26,2)</f>
        <v>16.190000000000001</v>
      </c>
      <c r="BT161" s="192">
        <f>ROUND(Y161*Worksheet!$E$27,2)</f>
        <v>0.85</v>
      </c>
      <c r="BU161" s="192">
        <f>ROUND(AO161*Worksheet!$E$29,2)</f>
        <v>3.25</v>
      </c>
      <c r="BV161" s="192">
        <f>ROUND(AP161*Worksheet!$E$30,2)</f>
        <v>0</v>
      </c>
      <c r="BW161" s="192">
        <f>ROUND(IF($I161&lt;&gt;0,$BQ161*Worksheet!$E$28,0),2)</f>
        <v>0.37</v>
      </c>
      <c r="BX161" s="192">
        <f>ROUND(AE161*Worksheet!$E$31,2)</f>
        <v>0</v>
      </c>
      <c r="BY161" s="192">
        <f>ROUND(AF161*Worksheet!$E$32,2)</f>
        <v>0</v>
      </c>
      <c r="BZ161" s="192">
        <f>ROUND(AG161*Worksheet!$E$33,2)</f>
        <v>0</v>
      </c>
      <c r="CA161" s="192">
        <f>ROUND(ROUND(AH161*BQ161,2)*Worksheet!$E$34,2)</f>
        <v>4.37</v>
      </c>
      <c r="CB161" s="192">
        <f>ROUND(AI161*Worksheet!$E$35,2)</f>
        <v>0</v>
      </c>
      <c r="CC161" s="192">
        <f>ROUND(AJ161*Worksheet!$E$36,2)</f>
        <v>0</v>
      </c>
      <c r="CD161" s="192">
        <f>ROUND(AQ161*Worksheet!$E$38,2)</f>
        <v>0.38</v>
      </c>
      <c r="CE161" s="192">
        <f>ROUND(AR161*Worksheet!$E$39,2)</f>
        <v>0</v>
      </c>
      <c r="CF161" s="192">
        <f>IF(AND(L161&gt;275,SUM(Y161:AD161)&lt;100),ROUND(SUM(Y161:AD161)*Worksheet!$E$41,2),0)</f>
        <v>0</v>
      </c>
      <c r="CG161" s="192">
        <f>IF(AND(L161&gt;600,SUM(Y161:AD161)&lt;50),ROUND((50-SUM(Y161:AD161))*(Worksheet!$E$41+1),2),0)</f>
        <v>0</v>
      </c>
      <c r="CH161" s="192">
        <f t="shared" si="106"/>
        <v>209.41</v>
      </c>
      <c r="CI161" s="116">
        <f t="shared" si="142"/>
        <v>0</v>
      </c>
      <c r="CJ161" s="116">
        <f t="shared" si="143"/>
        <v>209.41</v>
      </c>
      <c r="CK161" s="95">
        <f t="shared" si="138"/>
        <v>1.32</v>
      </c>
      <c r="CL161" s="116">
        <f t="shared" si="144"/>
        <v>276.42</v>
      </c>
      <c r="CM161" s="116">
        <f t="shared" si="145"/>
        <v>276.42</v>
      </c>
      <c r="CN161" s="116">
        <f t="shared" si="139"/>
        <v>3215593.86</v>
      </c>
      <c r="CO161" s="131">
        <f>ROUND(IF(F161=4,0,(MAX(ROUND(MAX((BI161*MIN(CL161,K161)*Worksheet!$D$126)+MAX(CL161-K161,0)*Worksheet!$F$50,SUM(J161)),2),SUM(CN161))-SUM(CN161))*MinAdj),2)</f>
        <v>0</v>
      </c>
      <c r="CP161" s="192">
        <f t="shared" si="140"/>
        <v>3215593.86</v>
      </c>
      <c r="CQ161" s="131">
        <f>IF(CL161=0,0,-MIN(CP161,MIN(CP161,ROUND(IF(ROUND(IF(CL161=0,0,N161/CL161),2)&lt;STVPP*0.2,STVPP*0.2*CL161*Worksheet!$F$88/1000,N161*Worksheet!$F$88/1000),2))))</f>
        <v>-165444</v>
      </c>
      <c r="CR161" s="193">
        <f>-MIN(SUM(CP161,CQ161),IF($P161=0,(ROUND(Worksheet!$E$77*S161,2)+ROUND(Worksheet!$E$78*T161,2)+ROUND(Worksheet!$E$79*U161,2)+ROUND(Worksheet!$E$80*V161,2)+ROUND(Worksheet!$E$81*W161,2)+ROUND(Worksheet!$E$82*X161,2)),(ROUND(ROUND(S161*ROUND((1-$O161/$P161),4),2)*Worksheet!$E$77,2)+ROUND(ROUND(T161*ROUND((1-$O161/$P161),4),2)*Worksheet!$E$78,2)+ROUND(ROUND(U161*ROUND((1-$O161/$P161),4),2)*Worksheet!$E$79,2)+ROUND(ROUND(V161*ROUND((1-$O161/$P161),4),2)*Worksheet!$E$80,2)+ROUND(ROUND(W161*ROUND((1-$O161/$P161),4),2)*Worksheet!$E$81,2)+ROUND(ROUND(X161*ROUND((1-$O161/$P161),4),2)*Worksheet!$E$82,2))))</f>
        <v>-25038</v>
      </c>
      <c r="CS161" s="192">
        <f t="shared" si="107"/>
        <v>3025111.86</v>
      </c>
      <c r="CT161" s="116">
        <f>ROUND(MIN(BA161,ROUND((ROUND(AS161*Worksheet!$E$104,2)+ROUND(AV161*Worksheet!$E$107,2)+ROUND(AT161*Worksheet!$E$105,2)+ROUND(AW161*Worksheet!$E$108,2)+ROUND(AU161*Worksheet!$E$106,2)+ROUND(AX161*Worksheet!$E$109,2)+ROUND(AY161*Worksheet!$E$110,2)+ROUND(AZ161*Worksheet!$E$111,2))*Worksheet!$D$114,2))*BaseRate,2)</f>
        <v>122844.48</v>
      </c>
      <c r="CU161" s="121">
        <v>0</v>
      </c>
      <c r="CV161" s="121">
        <v>0</v>
      </c>
      <c r="CW161" s="121">
        <v>0</v>
      </c>
      <c r="CX161" s="121">
        <v>0</v>
      </c>
      <c r="CY161" s="121">
        <v>0</v>
      </c>
      <c r="DA161" s="192">
        <f t="shared" si="108"/>
        <v>0</v>
      </c>
      <c r="DB161" s="192">
        <f>MAX(-CT161,MIN(0,ROUND($R161*EFBPercent+EFBAdd,2)-$Q161),MIN(0,SUM($CS161:CS161)+MIN(0,ROUND($R161*EFBPercent+EFBAdd,2)-$Q161)))</f>
        <v>0</v>
      </c>
      <c r="DC161" s="192">
        <f>IF(CU161&lt;0,0,MAX(-CU161,MIN(0,ROUND($R161*EFBPercent+EFBAdd,2)-$Q161),MIN(0,SUM($CS161:CT161)+MIN(0,ROUND($R161*EFBPercent+EFBAdd,2)-$Q161))))</f>
        <v>0</v>
      </c>
      <c r="DD161" s="192">
        <f>IF(CV161&lt;0,0,MAX(-CV161,MIN(0,ROUND($R161*EFBPercent+EFBAdd,2)-$Q161),MIN(0,SUM($CS161:CU161)+MIN(0,ROUND($R161*EFBPercent+EFBAdd,2)-$Q161))))</f>
        <v>0</v>
      </c>
      <c r="DE161" s="192">
        <f>IF(CW161&lt;0,0,MAX(-CW161,MIN(0,ROUND($R161*EFBPercent+EFBAdd,2)-$Q161),MIN(0,SUM($CS161:CV161)+MIN(0,ROUND($R161*EFBPercent+EFBAdd,2)-$Q161))))</f>
        <v>0</v>
      </c>
      <c r="DF161" s="192">
        <f>IF(CX161&lt;0,0,MAX(-CX161,MIN(0,ROUND($R161*EFBPercent+EFBAdd,2)-$Q161),MIN(0,SUM($CS161:CW161)+MIN(0,ROUND($R161*EFBPercent+EFBAdd,2)-$Q161))))</f>
        <v>0</v>
      </c>
      <c r="DG161" s="192">
        <f>MAX(-CY161,MIN(0,ROUND($R161*EFBPercent+EFBAdd,2)-$Q161),MIN(0,SUM($CS161:CX161)+MIN(0,ROUND($R161*EFBPercent+EFBAdd,2)-$Q161)))</f>
        <v>0</v>
      </c>
      <c r="DI161" s="73">
        <f t="shared" si="109"/>
        <v>3025111.86</v>
      </c>
      <c r="DJ161" s="73">
        <f t="shared" si="110"/>
        <v>122844.48</v>
      </c>
      <c r="DK161" s="73">
        <f t="shared" si="111"/>
        <v>0</v>
      </c>
      <c r="DL161" s="73">
        <f t="shared" si="112"/>
        <v>0</v>
      </c>
      <c r="DM161" s="73">
        <f t="shared" si="113"/>
        <v>0</v>
      </c>
      <c r="DN161" s="73">
        <f t="shared" si="114"/>
        <v>0</v>
      </c>
      <c r="DO161" s="73">
        <f t="shared" si="115"/>
        <v>0</v>
      </c>
      <c r="DP161" s="73"/>
      <c r="DQ161" s="73"/>
    </row>
    <row r="162" spans="1:121" ht="10.199999999999999" x14ac:dyDescent="0.2">
      <c r="A162" s="4" t="s">
        <v>624</v>
      </c>
      <c r="B162" s="188">
        <v>1046</v>
      </c>
      <c r="C162" s="189" t="s">
        <v>1090</v>
      </c>
      <c r="D162" s="4">
        <v>2027</v>
      </c>
      <c r="E162" s="4" t="s">
        <v>460</v>
      </c>
      <c r="F162" s="4">
        <v>1</v>
      </c>
      <c r="G162" s="4" t="s">
        <v>679</v>
      </c>
      <c r="H162" s="4">
        <v>0</v>
      </c>
      <c r="I162" s="4" t="s">
        <v>1091</v>
      </c>
      <c r="J162" s="5">
        <v>1916403.3899999997</v>
      </c>
      <c r="K162" s="5">
        <v>200.83</v>
      </c>
      <c r="L162" s="5">
        <v>338</v>
      </c>
      <c r="M162" s="5">
        <v>0</v>
      </c>
      <c r="N162" s="280">
        <v>1380963</v>
      </c>
      <c r="O162" s="5">
        <v>0</v>
      </c>
      <c r="P162" s="5">
        <v>56.33</v>
      </c>
      <c r="Q162" s="5">
        <v>0</v>
      </c>
      <c r="R162" s="5">
        <v>0</v>
      </c>
      <c r="S162" s="5">
        <v>16786.669999999998</v>
      </c>
      <c r="T162" s="5">
        <v>0</v>
      </c>
      <c r="U162" s="5">
        <v>0</v>
      </c>
      <c r="V162" s="5">
        <v>4833.63</v>
      </c>
      <c r="W162" s="5">
        <v>217</v>
      </c>
      <c r="X162" s="5">
        <v>12413.87</v>
      </c>
      <c r="Y162" s="5">
        <v>0.59</v>
      </c>
      <c r="Z162" s="5">
        <v>0</v>
      </c>
      <c r="AA162" s="5">
        <v>20</v>
      </c>
      <c r="AB162" s="5">
        <v>64</v>
      </c>
      <c r="AC162" s="5">
        <v>0</v>
      </c>
      <c r="AD162" s="5">
        <v>0</v>
      </c>
      <c r="AE162" s="5">
        <v>0</v>
      </c>
      <c r="AF162" s="5">
        <v>0</v>
      </c>
      <c r="AG162" s="5">
        <v>0</v>
      </c>
      <c r="AH162" s="5">
        <v>0.73799999999999999</v>
      </c>
      <c r="AI162" s="5">
        <v>0</v>
      </c>
      <c r="AJ162" s="5">
        <v>0</v>
      </c>
      <c r="AK162" s="5">
        <v>0</v>
      </c>
      <c r="AL162" s="5">
        <v>74.48</v>
      </c>
      <c r="AM162" s="5">
        <v>9.0900000000000034</v>
      </c>
      <c r="AN162" s="5">
        <v>84</v>
      </c>
      <c r="AO162" s="5">
        <f t="shared" si="141"/>
        <v>0</v>
      </c>
      <c r="AP162" s="5">
        <f t="shared" si="148"/>
        <v>0</v>
      </c>
      <c r="AQ162" s="5">
        <v>0</v>
      </c>
      <c r="AR162" s="5">
        <v>0</v>
      </c>
      <c r="AS162" s="5">
        <v>32000</v>
      </c>
      <c r="AT162" s="5">
        <v>92000</v>
      </c>
      <c r="AU162" s="5">
        <v>800</v>
      </c>
      <c r="AV162" s="5">
        <v>2000</v>
      </c>
      <c r="AW162" s="199">
        <v>338</v>
      </c>
      <c r="AX162" s="199">
        <v>1</v>
      </c>
      <c r="AY162" s="199">
        <v>0</v>
      </c>
      <c r="AZ162" s="199">
        <v>0</v>
      </c>
      <c r="BA162" s="5">
        <v>132981.44</v>
      </c>
      <c r="BB162" s="13">
        <v>94498.68</v>
      </c>
      <c r="BC162" s="190">
        <f>MAX(ROUND(IF(F162&lt;4,IF(H162=0,(SUM(Y162:AD162)*Worksheet!$E$26+Y162*Worksheet!$E$27+AR162*Worksheet!$E$39)*-BaseRate,0)),2),MIN(0,-DI162))</f>
        <v>-87761.91</v>
      </c>
      <c r="BD162" s="190">
        <f>MAX(ROUND(IF(F162=4,0,IF(I162=0,0,ROUND(SUM(Y162:AD162)*Worksheet!$E$28,2)*-BaseRate)),2),MIN(0,-DI162-BC162))</f>
        <v>-1977.61</v>
      </c>
      <c r="BE162" s="130">
        <f t="shared" si="134"/>
        <v>2527</v>
      </c>
      <c r="BF162" s="130">
        <f t="shared" si="135"/>
        <v>1403</v>
      </c>
      <c r="BG162" s="73"/>
      <c r="BH162" s="191">
        <f t="shared" si="136"/>
        <v>9224.7999999999993</v>
      </c>
      <c r="BI162" s="191">
        <f t="shared" si="137"/>
        <v>9542.42</v>
      </c>
      <c r="BJ162" s="232">
        <f>IFERROR(ROUND(IF(AND(BB162*1.12&lt;N162*60/1000,N162/CL162&lt;STVPP*0.2),(CL162*STVPP*0.2*Worksheet!$F$88/1000-BB162*1.12)*PropTaxAdj,IF(BB162*1.12&lt;N162*60/1000,(N162*60/1000-BB162*1.12)*PropTaxAdj,0)),2),0)</f>
        <v>0</v>
      </c>
      <c r="BK162" s="192">
        <f>ROUND(IF($F162=4,0,Y162*Worksheet!$E$16),2)</f>
        <v>0.59</v>
      </c>
      <c r="BL162" s="192">
        <f>ROUND(IF($F162=4,0,Z162*Worksheet!$E$17),2)</f>
        <v>0</v>
      </c>
      <c r="BM162" s="192">
        <f>ROUND(IF($F162=4,0,AA162*Worksheet!$E$18),2)</f>
        <v>20</v>
      </c>
      <c r="BN162" s="192">
        <f>ROUND(IF($F162=4,0,AB162*Worksheet!$E$19),2)</f>
        <v>64</v>
      </c>
      <c r="BO162" s="192">
        <f>ROUND(IF($F162=4,0,AC162*Worksheet!$E$20),2)</f>
        <v>0</v>
      </c>
      <c r="BP162" s="192">
        <f>ROUND(AD162*Worksheet!$E$21,2)</f>
        <v>0</v>
      </c>
      <c r="BQ162" s="192">
        <f t="shared" si="105"/>
        <v>84.59</v>
      </c>
      <c r="BR162" s="192">
        <f>ROUND(AD162*Worksheet!$E$25,2)</f>
        <v>0</v>
      </c>
      <c r="BS162" s="192">
        <f>ROUND(SUM(BQ162)*Worksheet!$E$26,2)</f>
        <v>7.44</v>
      </c>
      <c r="BT162" s="192">
        <f>ROUND(Y162*Worksheet!$E$27,2)</f>
        <v>0.1</v>
      </c>
      <c r="BU162" s="192">
        <f>ROUND(AO162*Worksheet!$E$29,2)</f>
        <v>0</v>
      </c>
      <c r="BV162" s="192">
        <f>ROUND(AP162*Worksheet!$E$30,2)</f>
        <v>0</v>
      </c>
      <c r="BW162" s="192">
        <f>ROUND(IF($I162&lt;&gt;0,$BQ162*Worksheet!$E$28,0),2)</f>
        <v>0.17</v>
      </c>
      <c r="BX162" s="192">
        <f>ROUND(AE162*Worksheet!$E$31,2)</f>
        <v>0</v>
      </c>
      <c r="BY162" s="192">
        <f>ROUND(AF162*Worksheet!$E$32,2)</f>
        <v>0</v>
      </c>
      <c r="BZ162" s="192">
        <f>ROUND(AG162*Worksheet!$E$33,2)</f>
        <v>0</v>
      </c>
      <c r="CA162" s="192">
        <f>ROUND(ROUND(AH162*BQ162,2)*Worksheet!$E$34,2)</f>
        <v>1.56</v>
      </c>
      <c r="CB162" s="192">
        <f>ROUND(AI162*Worksheet!$E$35,2)</f>
        <v>0</v>
      </c>
      <c r="CC162" s="192">
        <f>ROUND(AJ162*Worksheet!$E$36,2)</f>
        <v>0</v>
      </c>
      <c r="CD162" s="192">
        <f>ROUND(AQ162*Worksheet!$E$38,2)</f>
        <v>0</v>
      </c>
      <c r="CE162" s="192">
        <f>ROUND(AR162*Worksheet!$E$39,2)</f>
        <v>0</v>
      </c>
      <c r="CF162" s="192">
        <f>IF(AND(L162&gt;275,SUM(Y162:AD162)&lt;100),ROUND(SUM(Y162:AD162)*Worksheet!$E$41,2),0)</f>
        <v>8.4600000000000009</v>
      </c>
      <c r="CG162" s="192">
        <f>IF(AND(L162&gt;600,SUM(Y162:AD162)&lt;50),ROUND((50-SUM(Y162:AD162))*(Worksheet!$E$41+1),2),0)</f>
        <v>0</v>
      </c>
      <c r="CH162" s="192">
        <f t="shared" si="106"/>
        <v>102.32</v>
      </c>
      <c r="CI162" s="116">
        <f t="shared" si="142"/>
        <v>0</v>
      </c>
      <c r="CJ162" s="116">
        <f t="shared" si="143"/>
        <v>102.32</v>
      </c>
      <c r="CK162" s="95">
        <f t="shared" si="138"/>
        <v>1.67</v>
      </c>
      <c r="CL162" s="116">
        <f t="shared" si="144"/>
        <v>170.87</v>
      </c>
      <c r="CM162" s="116">
        <f t="shared" si="145"/>
        <v>170.87</v>
      </c>
      <c r="CN162" s="116">
        <f t="shared" si="139"/>
        <v>1987730.71</v>
      </c>
      <c r="CO162" s="131">
        <f>ROUND(IF(F162=4,0,(MAX(ROUND(MAX((BI162*MIN(CL162,K162)*Worksheet!$D$126)+MAX(CL162-K162,0)*Worksheet!$F$50,SUM(J162)),2),SUM(CN162))-SUM(CN162))*MinAdj),2)</f>
        <v>0</v>
      </c>
      <c r="CP162" s="192">
        <f t="shared" si="140"/>
        <v>1987730.71</v>
      </c>
      <c r="CQ162" s="131">
        <f>IF(CL162=0,0,-MIN(CP162,MIN(CP162,ROUND(IF(ROUND(IF(CL162=0,0,N162/CL162),2)&lt;STVPP*0.2,STVPP*0.2*CL162*Worksheet!$F$88/1000,N162*Worksheet!$F$88/1000),2))))</f>
        <v>-94574.49</v>
      </c>
      <c r="CR162" s="193">
        <f>-MIN(SUM(CP162,CQ162),IF($P162=0,(ROUND(Worksheet!$E$77*S162,2)+ROUND(Worksheet!$E$78*T162,2)+ROUND(Worksheet!$E$79*U162,2)+ROUND(Worksheet!$E$80*V162,2)+ROUND(Worksheet!$E$81*W162,2)+ROUND(Worksheet!$E$82*X162,2)),(ROUND(ROUND(S162*ROUND((1-$O162/$P162),4),2)*Worksheet!$E$77,2)+ROUND(ROUND(T162*ROUND((1-$O162/$P162),4),2)*Worksheet!$E$78,2)+ROUND(ROUND(U162*ROUND((1-$O162/$P162),4),2)*Worksheet!$E$79,2)+ROUND(ROUND(V162*ROUND((1-$O162/$P162),4),2)*Worksheet!$E$80,2)+ROUND(ROUND(W162*ROUND((1-$O162/$P162),4),2)*Worksheet!$E$81,2)+ROUND(ROUND(X162*ROUND((1-$O162/$P162),4),2)*Worksheet!$E$82,2))))</f>
        <v>-25688.37</v>
      </c>
      <c r="CS162" s="192">
        <f t="shared" si="107"/>
        <v>1867467.8499999999</v>
      </c>
      <c r="CT162" s="116">
        <f>ROUND(MIN(BA162,ROUND((ROUND(AS162*Worksheet!$E$104,2)+ROUND(AV162*Worksheet!$E$107,2)+ROUND(AT162*Worksheet!$E$105,2)+ROUND(AW162*Worksheet!$E$108,2)+ROUND(AU162*Worksheet!$E$106,2)+ROUND(AX162*Worksheet!$E$109,2)+ROUND(AY162*Worksheet!$E$110,2)+ROUND(AZ162*Worksheet!$E$111,2))*Worksheet!$D$114,2))*BaseRate,2)</f>
        <v>156347.51999999999</v>
      </c>
      <c r="CU162" s="121">
        <v>0</v>
      </c>
      <c r="CV162" s="121">
        <v>0</v>
      </c>
      <c r="CW162" s="121">
        <v>0</v>
      </c>
      <c r="CX162" s="121">
        <v>0</v>
      </c>
      <c r="CY162" s="121">
        <v>0</v>
      </c>
      <c r="DA162" s="192">
        <f t="shared" si="108"/>
        <v>0</v>
      </c>
      <c r="DB162" s="192">
        <f>MAX(-CT162,MIN(0,ROUND($R162*EFBPercent+EFBAdd,2)-$Q162),MIN(0,SUM($CS162:CS162)+MIN(0,ROUND($R162*EFBPercent+EFBAdd,2)-$Q162)))</f>
        <v>0</v>
      </c>
      <c r="DC162" s="192">
        <f>IF(CU162&lt;0,0,MAX(-CU162,MIN(0,ROUND($R162*EFBPercent+EFBAdd,2)-$Q162),MIN(0,SUM($CS162:CT162)+MIN(0,ROUND($R162*EFBPercent+EFBAdd,2)-$Q162))))</f>
        <v>0</v>
      </c>
      <c r="DD162" s="192">
        <f>IF(CV162&lt;0,0,MAX(-CV162,MIN(0,ROUND($R162*EFBPercent+EFBAdd,2)-$Q162),MIN(0,SUM($CS162:CU162)+MIN(0,ROUND($R162*EFBPercent+EFBAdd,2)-$Q162))))</f>
        <v>0</v>
      </c>
      <c r="DE162" s="192">
        <f>IF(CW162&lt;0,0,MAX(-CW162,MIN(0,ROUND($R162*EFBPercent+EFBAdd,2)-$Q162),MIN(0,SUM($CS162:CV162)+MIN(0,ROUND($R162*EFBPercent+EFBAdd,2)-$Q162))))</f>
        <v>0</v>
      </c>
      <c r="DF162" s="192">
        <f>IF(CX162&lt;0,0,MAX(-CX162,MIN(0,ROUND($R162*EFBPercent+EFBAdd,2)-$Q162),MIN(0,SUM($CS162:CW162)+MIN(0,ROUND($R162*EFBPercent+EFBAdd,2)-$Q162))))</f>
        <v>0</v>
      </c>
      <c r="DG162" s="192">
        <f>MAX(-CY162,MIN(0,ROUND($R162*EFBPercent+EFBAdd,2)-$Q162),MIN(0,SUM($CS162:CX162)+MIN(0,ROUND($R162*EFBPercent+EFBAdd,2)-$Q162)))</f>
        <v>0</v>
      </c>
      <c r="DI162" s="73">
        <f t="shared" si="109"/>
        <v>1867467.8499999999</v>
      </c>
      <c r="DJ162" s="73">
        <f t="shared" si="110"/>
        <v>156347.51999999999</v>
      </c>
      <c r="DK162" s="73">
        <f t="shared" si="111"/>
        <v>0</v>
      </c>
      <c r="DL162" s="73">
        <f t="shared" si="112"/>
        <v>0</v>
      </c>
      <c r="DM162" s="73">
        <f t="shared" si="113"/>
        <v>0</v>
      </c>
      <c r="DN162" s="73">
        <f t="shared" si="114"/>
        <v>0</v>
      </c>
      <c r="DO162" s="73">
        <f t="shared" si="115"/>
        <v>0</v>
      </c>
      <c r="DP162" s="73"/>
      <c r="DQ162" s="73"/>
    </row>
    <row r="163" spans="1:121" ht="10.199999999999999" x14ac:dyDescent="0.2">
      <c r="A163" s="4" t="s">
        <v>625</v>
      </c>
      <c r="B163" s="202">
        <v>1144</v>
      </c>
      <c r="C163" s="203" t="s">
        <v>148</v>
      </c>
      <c r="D163" s="4">
        <v>2027</v>
      </c>
      <c r="E163" s="4" t="s">
        <v>461</v>
      </c>
      <c r="F163" s="4">
        <v>1</v>
      </c>
      <c r="G163" s="4" t="s">
        <v>672</v>
      </c>
      <c r="H163" s="4">
        <v>100</v>
      </c>
      <c r="I163" s="4" t="s">
        <v>1091</v>
      </c>
      <c r="J163" s="5">
        <v>1311373.7</v>
      </c>
      <c r="K163" s="5">
        <v>135.94999999999999</v>
      </c>
      <c r="L163" s="5">
        <v>294.5</v>
      </c>
      <c r="M163" s="5">
        <v>0</v>
      </c>
      <c r="N163" s="280">
        <v>3956990</v>
      </c>
      <c r="O163" s="5">
        <v>0</v>
      </c>
      <c r="P163" s="5">
        <v>44.39</v>
      </c>
      <c r="Q163" s="5">
        <v>0</v>
      </c>
      <c r="R163" s="5">
        <v>0</v>
      </c>
      <c r="S163" s="5">
        <v>0</v>
      </c>
      <c r="T163" s="5">
        <v>0</v>
      </c>
      <c r="U163" s="5">
        <v>0</v>
      </c>
      <c r="V163" s="5">
        <v>1561.11</v>
      </c>
      <c r="W163" s="5">
        <v>22.7</v>
      </c>
      <c r="X163" s="5">
        <v>6279.78</v>
      </c>
      <c r="Y163" s="5">
        <v>4.1399999999999997</v>
      </c>
      <c r="Z163" s="5">
        <v>10</v>
      </c>
      <c r="AA163" s="5">
        <v>31</v>
      </c>
      <c r="AB163" s="5">
        <v>11</v>
      </c>
      <c r="AC163" s="5">
        <v>16</v>
      </c>
      <c r="AD163" s="5">
        <v>0</v>
      </c>
      <c r="AE163" s="5">
        <v>0</v>
      </c>
      <c r="AF163" s="5">
        <v>0</v>
      </c>
      <c r="AG163" s="5">
        <v>0</v>
      </c>
      <c r="AH163" s="5">
        <v>0.94299999999999995</v>
      </c>
      <c r="AI163" s="5">
        <v>2.98</v>
      </c>
      <c r="AJ163" s="5">
        <v>0</v>
      </c>
      <c r="AK163" s="5">
        <v>0</v>
      </c>
      <c r="AL163" s="5">
        <v>69.27</v>
      </c>
      <c r="AM163" s="5">
        <v>0</v>
      </c>
      <c r="AN163" s="5">
        <v>68</v>
      </c>
      <c r="AO163" s="5">
        <f t="shared" si="141"/>
        <v>1.269999999999996</v>
      </c>
      <c r="AP163" s="5">
        <f t="shared" si="148"/>
        <v>0</v>
      </c>
      <c r="AQ163" s="5">
        <v>10.38</v>
      </c>
      <c r="AR163" s="5">
        <v>0</v>
      </c>
      <c r="AS163" s="5">
        <v>0</v>
      </c>
      <c r="AT163" s="5">
        <v>58824</v>
      </c>
      <c r="AU163" s="5">
        <v>0</v>
      </c>
      <c r="AV163" s="5">
        <v>1032</v>
      </c>
      <c r="AW163" s="199">
        <v>294.5</v>
      </c>
      <c r="AX163" s="199">
        <v>1</v>
      </c>
      <c r="AY163" s="199">
        <v>0</v>
      </c>
      <c r="AZ163" s="199">
        <v>0</v>
      </c>
      <c r="BA163" s="5">
        <v>152824.48000000001</v>
      </c>
      <c r="BB163" s="13">
        <v>280489.32</v>
      </c>
      <c r="BC163" s="204">
        <f>MAX(ROUND(IF(F163&lt;4,IF(H163=0,(SUM(Y163:AD163)*Worksheet!$E$26+Y163*Worksheet!$E$27+AR163*Worksheet!$E$39)*-BaseRate,0)),2),MIN(0,-DI163))</f>
        <v>0</v>
      </c>
      <c r="BD163" s="204">
        <f>MAX(ROUND(IF(F163=4,0,IF(I163=0,0,ROUND(SUM(Y163:AD163)*Worksheet!$E$28,2)*-BaseRate)),2),MIN(0,-DI163-BC163))</f>
        <v>-1628.62</v>
      </c>
      <c r="BE163" s="130">
        <f t="shared" si="134"/>
        <v>0</v>
      </c>
      <c r="BF163" s="130">
        <f t="shared" si="135"/>
        <v>1403</v>
      </c>
      <c r="BG163" s="73"/>
      <c r="BH163" s="205">
        <f t="shared" si="136"/>
        <v>24594.38</v>
      </c>
      <c r="BI163" s="205">
        <f t="shared" si="137"/>
        <v>9646</v>
      </c>
      <c r="BJ163" s="232">
        <f>IFERROR(ROUND(IF(AND(BB163*1.12&lt;N163*60/1000,N163/CL163&lt;STVPP*0.2),(CL163*STVPP*0.2*Worksheet!$F$88/1000-BB163*1.12)*PropTaxAdj,IF(BB163*1.12&lt;N163*60/1000,(N163*60/1000-BB163*1.12)*PropTaxAdj,0)),2),0)</f>
        <v>0</v>
      </c>
      <c r="BK163" s="206">
        <f>ROUND(IF($F163=4,0,Y163*Worksheet!$E$16),2)</f>
        <v>4.1399999999999997</v>
      </c>
      <c r="BL163" s="206">
        <f>ROUND(IF($F163=4,0,Z163*Worksheet!$E$17),2)</f>
        <v>10</v>
      </c>
      <c r="BM163" s="206">
        <f>ROUND(IF($F163=4,0,AA163*Worksheet!$E$18),2)</f>
        <v>31</v>
      </c>
      <c r="BN163" s="206">
        <f>ROUND(IF($F163=4,0,AB163*Worksheet!$E$19),2)</f>
        <v>11</v>
      </c>
      <c r="BO163" s="206">
        <f>ROUND(IF($F163=4,0,AC163*Worksheet!$E$20),2)</f>
        <v>16</v>
      </c>
      <c r="BP163" s="206">
        <f>ROUND(AD163*Worksheet!$E$21,2)</f>
        <v>0</v>
      </c>
      <c r="BQ163" s="206">
        <f t="shared" si="105"/>
        <v>72.14</v>
      </c>
      <c r="BR163" s="206">
        <f>ROUND(AD163*Worksheet!$E$25,2)</f>
        <v>0</v>
      </c>
      <c r="BS163" s="206">
        <f>ROUND(SUM(BQ163)*Worksheet!$E$26,2)</f>
        <v>6.35</v>
      </c>
      <c r="BT163" s="206">
        <f>ROUND(Y163*Worksheet!$E$27,2)</f>
        <v>0.7</v>
      </c>
      <c r="BU163" s="206">
        <f>ROUND(AO163*Worksheet!$E$29,2)</f>
        <v>1.27</v>
      </c>
      <c r="BV163" s="206">
        <f>ROUND(AP163*Worksheet!$E$30,2)</f>
        <v>0</v>
      </c>
      <c r="BW163" s="206">
        <f>ROUND(IF($I163&lt;&gt;0,$BQ163*Worksheet!$E$28,0),2)</f>
        <v>0.14000000000000001</v>
      </c>
      <c r="BX163" s="206">
        <f>ROUND(AE163*Worksheet!$E$31,2)</f>
        <v>0</v>
      </c>
      <c r="BY163" s="206">
        <f>ROUND(AF163*Worksheet!$E$32,2)</f>
        <v>0</v>
      </c>
      <c r="BZ163" s="206">
        <f>ROUND(AG163*Worksheet!$E$33,2)</f>
        <v>0</v>
      </c>
      <c r="CA163" s="206">
        <f>ROUND(ROUND(AH163*BQ163,2)*Worksheet!$E$34,2)</f>
        <v>1.7</v>
      </c>
      <c r="CB163" s="206">
        <f>ROUND(AI163*Worksheet!$E$35,2)</f>
        <v>0.6</v>
      </c>
      <c r="CC163" s="206">
        <f>ROUND(AJ163*Worksheet!$E$36,2)</f>
        <v>0</v>
      </c>
      <c r="CD163" s="206">
        <f>ROUND(AQ163*Worksheet!$E$38,2)</f>
        <v>6.23</v>
      </c>
      <c r="CE163" s="206">
        <f>ROUND(AR163*Worksheet!$E$39,2)</f>
        <v>0</v>
      </c>
      <c r="CF163" s="206">
        <f>IF(AND(L163&gt;275,SUM(Y163:AD163)&lt;100),ROUND(SUM(Y163:AD163)*Worksheet!$E$41,2),0)</f>
        <v>7.21</v>
      </c>
      <c r="CG163" s="206">
        <f>IF(AND(L163&gt;600,SUM(Y163:AD163)&lt;50),ROUND((50-SUM(Y163:AD163))*(Worksheet!$E$41+1),2),0)</f>
        <v>0</v>
      </c>
      <c r="CH163" s="206">
        <f t="shared" si="106"/>
        <v>96.339999999999989</v>
      </c>
      <c r="CI163" s="116">
        <f t="shared" si="142"/>
        <v>0</v>
      </c>
      <c r="CJ163" s="116">
        <f t="shared" si="143"/>
        <v>96.339999999999989</v>
      </c>
      <c r="CK163" s="95">
        <f t="shared" si="138"/>
        <v>1.67</v>
      </c>
      <c r="CL163" s="116">
        <f t="shared" si="144"/>
        <v>160.88999999999999</v>
      </c>
      <c r="CM163" s="116">
        <f t="shared" si="145"/>
        <v>160.88999999999999</v>
      </c>
      <c r="CN163" s="116">
        <f t="shared" si="139"/>
        <v>1871633.37</v>
      </c>
      <c r="CO163" s="131">
        <f>ROUND(IF(F163=4,0,(MAX(ROUND(MAX((BI163*MIN(CL163,K163)*Worksheet!$D$126)+MAX(CL163-K163,0)*Worksheet!$F$50,SUM(J163)),2),SUM(CN163))-SUM(CN163))*MinAdj),2)</f>
        <v>0</v>
      </c>
      <c r="CP163" s="206">
        <f t="shared" si="140"/>
        <v>1871633.37</v>
      </c>
      <c r="CQ163" s="131">
        <f>IF(CL163=0,0,-MIN(CP163,MIN(CP163,ROUND(IF(ROUND(IF(CL163=0,0,N163/CL163),2)&lt;STVPP*0.2,STVPP*0.2*CL163*Worksheet!$F$88/1000,N163*Worksheet!$F$88/1000),2))))</f>
        <v>-237419.4</v>
      </c>
      <c r="CR163" s="207">
        <f>-MIN(SUM(CP163,CQ163),IF($P163=0,(ROUND(Worksheet!$E$77*S163,2)+ROUND(Worksheet!$E$78*T163,2)+ROUND(Worksheet!$E$79*U163,2)+ROUND(Worksheet!$E$80*V163,2)+ROUND(Worksheet!$E$81*W163,2)+ROUND(Worksheet!$E$82*X163,2)),(ROUND(ROUND(S163*ROUND((1-$O163/$P163),4),2)*Worksheet!$E$77,2)+ROUND(ROUND(T163*ROUND((1-$O163/$P163),4),2)*Worksheet!$E$78,2)+ROUND(ROUND(U163*ROUND((1-$O163/$P163),4),2)*Worksheet!$E$79,2)+ROUND(ROUND(V163*ROUND((1-$O163/$P163),4),2)*Worksheet!$E$80,2)+ROUND(ROUND(W163*ROUND((1-$O163/$P163),4),2)*Worksheet!$E$81,2)+ROUND(ROUND(X163*ROUND((1-$O163/$P163),4),2)*Worksheet!$E$82,2))))</f>
        <v>-5897.7</v>
      </c>
      <c r="CS163" s="206">
        <f t="shared" si="107"/>
        <v>1628316.2700000003</v>
      </c>
      <c r="CT163" s="116">
        <f>ROUND(MIN(BA163,ROUND((ROUND(AS163*Worksheet!$E$104,2)+ROUND(AV163*Worksheet!$E$107,2)+ROUND(AT163*Worksheet!$E$105,2)+ROUND(AW163*Worksheet!$E$108,2)+ROUND(AU163*Worksheet!$E$106,2)+ROUND(AX163*Worksheet!$E$109,2)+ROUND(AY163*Worksheet!$E$110,2)+ROUND(AZ163*Worksheet!$E$111,2))*Worksheet!$D$114,2))*BaseRate,2)</f>
        <v>85269.89</v>
      </c>
      <c r="CU163" s="121">
        <v>0</v>
      </c>
      <c r="CV163" s="121">
        <v>0</v>
      </c>
      <c r="CW163" s="121">
        <v>0</v>
      </c>
      <c r="CX163" s="121">
        <v>0</v>
      </c>
      <c r="CY163" s="121">
        <v>0</v>
      </c>
      <c r="DA163" s="206">
        <f t="shared" si="108"/>
        <v>0</v>
      </c>
      <c r="DB163" s="206">
        <f>MAX(-CT163,MIN(0,ROUND($R163*EFBPercent+EFBAdd,2)-$Q163),MIN(0,SUM($CS163:CS163)+MIN(0,ROUND($R163*EFBPercent+EFBAdd,2)-$Q163)))</f>
        <v>0</v>
      </c>
      <c r="DC163" s="192">
        <f>IF(CU163&lt;0,0,MAX(-CU163,MIN(0,ROUND($R163*EFBPercent+EFBAdd,2)-$Q163),MIN(0,SUM($CS163:CT163)+MIN(0,ROUND($R163*EFBPercent+EFBAdd,2)-$Q163))))</f>
        <v>0</v>
      </c>
      <c r="DD163" s="192">
        <f>IF(CV163&lt;0,0,MAX(-CV163,MIN(0,ROUND($R163*EFBPercent+EFBAdd,2)-$Q163),MIN(0,SUM($CS163:CU163)+MIN(0,ROUND($R163*EFBPercent+EFBAdd,2)-$Q163))))</f>
        <v>0</v>
      </c>
      <c r="DE163" s="192">
        <f>IF(CW163&lt;0,0,MAX(-CW163,MIN(0,ROUND($R163*EFBPercent+EFBAdd,2)-$Q163),MIN(0,SUM($CS163:CV163)+MIN(0,ROUND($R163*EFBPercent+EFBAdd,2)-$Q163))))</f>
        <v>0</v>
      </c>
      <c r="DF163" s="192">
        <f>IF(CX163&lt;0,0,MAX(-CX163,MIN(0,ROUND($R163*EFBPercent+EFBAdd,2)-$Q163),MIN(0,SUM($CS163:CW163)+MIN(0,ROUND($R163*EFBPercent+EFBAdd,2)-$Q163))))</f>
        <v>0</v>
      </c>
      <c r="DG163" s="206">
        <f>MAX(-CY163,MIN(0,ROUND($R163*EFBPercent+EFBAdd,2)-$Q163),MIN(0,SUM($CS163:CX163)+MIN(0,ROUND($R163*EFBPercent+EFBAdd,2)-$Q163)))</f>
        <v>0</v>
      </c>
      <c r="DI163" s="73">
        <f t="shared" si="109"/>
        <v>1628316.2700000003</v>
      </c>
      <c r="DJ163" s="73">
        <f t="shared" si="110"/>
        <v>85269.89</v>
      </c>
      <c r="DK163" s="73">
        <f t="shared" si="111"/>
        <v>0</v>
      </c>
      <c r="DL163" s="73">
        <f t="shared" si="112"/>
        <v>0</v>
      </c>
      <c r="DM163" s="73">
        <f t="shared" si="113"/>
        <v>0</v>
      </c>
      <c r="DN163" s="73">
        <f t="shared" si="114"/>
        <v>0</v>
      </c>
      <c r="DO163" s="73">
        <f t="shared" si="115"/>
        <v>0</v>
      </c>
      <c r="DP163" s="73"/>
      <c r="DQ163" s="73"/>
    </row>
    <row r="164" spans="1:121" ht="10.199999999999999" x14ac:dyDescent="0.2">
      <c r="A164" s="4" t="s">
        <v>679</v>
      </c>
      <c r="B164" s="188">
        <v>2527</v>
      </c>
      <c r="C164" s="189" t="s">
        <v>1089</v>
      </c>
      <c r="D164" s="4">
        <v>2027</v>
      </c>
      <c r="E164" s="4" t="s">
        <v>1088</v>
      </c>
      <c r="F164" s="4">
        <v>7</v>
      </c>
      <c r="G164" s="4" t="s">
        <v>679</v>
      </c>
      <c r="H164" s="4">
        <v>100</v>
      </c>
      <c r="I164" s="4">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f t="shared" si="141"/>
        <v>0</v>
      </c>
      <c r="AP164" s="5">
        <v>0</v>
      </c>
      <c r="AQ164" s="5">
        <v>0</v>
      </c>
      <c r="AR164" s="5">
        <v>0</v>
      </c>
      <c r="AS164" s="5">
        <v>0</v>
      </c>
      <c r="AT164" s="5">
        <v>0</v>
      </c>
      <c r="AU164" s="5">
        <v>0</v>
      </c>
      <c r="AV164" s="5">
        <v>0</v>
      </c>
      <c r="AW164" s="199">
        <v>0</v>
      </c>
      <c r="AX164" s="199">
        <v>0</v>
      </c>
      <c r="AY164" s="199">
        <v>0</v>
      </c>
      <c r="AZ164" s="199">
        <v>0</v>
      </c>
      <c r="BA164" s="5">
        <v>0</v>
      </c>
      <c r="BB164" s="13">
        <v>0</v>
      </c>
      <c r="BC164" s="190">
        <f>MAX(ROUND(IF(F164&lt;4,IF(H164=0,(SUM(Y164:AD164)*Worksheet!$E$26+Y164*Worksheet!$E$27+AR164*Worksheet!$E$39)*-BaseRate,0)),2),MIN(0,-DI164))</f>
        <v>0</v>
      </c>
      <c r="BD164" s="190">
        <f>MAX(ROUND(IF(F164=4,0,IF(I164=0,0,ROUND(SUM(Y164:AD164)*Worksheet!$E$28,2)*-BaseRate)),2),MIN(0,-DI164-BC164))</f>
        <v>0</v>
      </c>
      <c r="BE164" s="130">
        <f t="shared" si="134"/>
        <v>0</v>
      </c>
      <c r="BF164" s="130">
        <f t="shared" si="135"/>
        <v>0</v>
      </c>
      <c r="BG164" s="73"/>
      <c r="BH164" s="191">
        <f t="shared" si="136"/>
        <v>0</v>
      </c>
      <c r="BI164" s="191">
        <f t="shared" si="137"/>
        <v>0</v>
      </c>
      <c r="BJ164" s="232">
        <f>IFERROR(ROUND(IF(AND(BB164*1.12&lt;N164*60/1000,N164/CL164&lt;STVPP*0.2),(CL164*STVPP*0.2*Worksheet!$F$88/1000-BB164*1.12)*PropTaxAdj,IF(BB164*1.12&lt;N164*60/1000,(N164*60/1000-BB164*1.12)*PropTaxAdj,0)),2),0)</f>
        <v>0</v>
      </c>
      <c r="BK164" s="192">
        <f>ROUND(IF($F164=4,0,Y164*Worksheet!$E$16),2)</f>
        <v>0</v>
      </c>
      <c r="BL164" s="192">
        <f>ROUND(IF($F164=4,0,Z164*Worksheet!$E$17),2)</f>
        <v>0</v>
      </c>
      <c r="BM164" s="192">
        <f>ROUND(IF($F164=4,0,AA164*Worksheet!$E$18),2)</f>
        <v>0</v>
      </c>
      <c r="BN164" s="192">
        <f>ROUND(IF($F164=4,0,AB164*Worksheet!$E$19),2)</f>
        <v>0</v>
      </c>
      <c r="BO164" s="192">
        <f>ROUND(IF($F164=4,0,AC164*Worksheet!$E$20),2)</f>
        <v>0</v>
      </c>
      <c r="BP164" s="192">
        <f>ROUND(AD164*Worksheet!$E$21,2)</f>
        <v>0</v>
      </c>
      <c r="BQ164" s="192">
        <f t="shared" si="105"/>
        <v>0</v>
      </c>
      <c r="BR164" s="192">
        <f>ROUND(AD164*Worksheet!$E$25,2)</f>
        <v>0</v>
      </c>
      <c r="BS164" s="192">
        <f>ROUND(SUM(BQ164)*Worksheet!$E$26,2)</f>
        <v>0</v>
      </c>
      <c r="BT164" s="192">
        <f>ROUND(Y164*Worksheet!$E$27,2)</f>
        <v>0</v>
      </c>
      <c r="BU164" s="192">
        <f>ROUND(AO164*Worksheet!$E$29,2)</f>
        <v>0</v>
      </c>
      <c r="BV164" s="192">
        <f>ROUND(AP164*Worksheet!$E$30,2)</f>
        <v>0</v>
      </c>
      <c r="BW164" s="192">
        <f>ROUND(IF($I164&lt;&gt;0,$BQ164*Worksheet!$E$28,0),2)</f>
        <v>0</v>
      </c>
      <c r="BX164" s="192">
        <f>ROUND(AE164*Worksheet!$E$31,2)</f>
        <v>0</v>
      </c>
      <c r="BY164" s="192">
        <f>ROUND(AF164*Worksheet!$E$32,2)</f>
        <v>0</v>
      </c>
      <c r="BZ164" s="192">
        <f>ROUND(AG164*Worksheet!$E$33,2)</f>
        <v>0</v>
      </c>
      <c r="CA164" s="192">
        <f>ROUND(ROUND(AH164*BQ164,2)*Worksheet!$E$34,2)</f>
        <v>0</v>
      </c>
      <c r="CB164" s="192">
        <f>ROUND(AI164*Worksheet!$E$35,2)</f>
        <v>0</v>
      </c>
      <c r="CC164" s="192">
        <f>ROUND(AJ164*Worksheet!$E$36,2)</f>
        <v>0</v>
      </c>
      <c r="CD164" s="192">
        <f>ROUND(AQ164*Worksheet!$E$38,2)</f>
        <v>0</v>
      </c>
      <c r="CE164" s="192">
        <f>ROUND(AR164*Worksheet!$E$39,2)</f>
        <v>0</v>
      </c>
      <c r="CF164" s="192">
        <f>IF(AND(L164&gt;275,SUM(Y164:AD164)&lt;100),ROUND(SUM(Y164:AD164)*Worksheet!$E$41,2),0)</f>
        <v>0</v>
      </c>
      <c r="CG164" s="192">
        <f>IF(AND(L164&gt;600,SUM(Y164:AD164)&lt;50),ROUND((50-SUM(Y164:AD164))*(Worksheet!$E$41+1),2),0)</f>
        <v>0</v>
      </c>
      <c r="CH164" s="192">
        <f t="shared" si="106"/>
        <v>0</v>
      </c>
      <c r="CI164" s="116">
        <f t="shared" si="142"/>
        <v>0</v>
      </c>
      <c r="CJ164" s="116">
        <f t="shared" si="143"/>
        <v>0</v>
      </c>
      <c r="CK164" s="95">
        <f t="shared" si="138"/>
        <v>0</v>
      </c>
      <c r="CL164" s="116">
        <f t="shared" si="144"/>
        <v>0</v>
      </c>
      <c r="CM164" s="116">
        <f t="shared" si="145"/>
        <v>0</v>
      </c>
      <c r="CN164" s="116">
        <f t="shared" si="139"/>
        <v>0</v>
      </c>
      <c r="CO164" s="131">
        <f>ROUND(IF(F164=4,0,(MAX(ROUND(MAX((BI164*MIN(CL164,K164)*Worksheet!$D$126)+MAX(CL164-K164,0)*Worksheet!$F$50,SUM(J164)),2),SUM(CN164))-SUM(CN164))*MinAdj),2)</f>
        <v>0</v>
      </c>
      <c r="CP164" s="192">
        <f t="shared" si="140"/>
        <v>0</v>
      </c>
      <c r="CQ164" s="131">
        <f>IF(CL164=0,0,-MIN(CP164,MIN(CP164,ROUND(IF(ROUND(IF(CL164=0,0,N164/CL164),2)&lt;STVPP*0.2,STVPP*0.2*CL164*Worksheet!$F$88/1000,N164*Worksheet!$F$88/1000),2))))</f>
        <v>0</v>
      </c>
      <c r="CR164" s="193">
        <f>-MIN(SUM(CP164,CQ164),IF($P164=0,(ROUND(Worksheet!$E$77*S164,2)+ROUND(Worksheet!$E$78*T164,2)+ROUND(Worksheet!$E$79*U164,2)+ROUND(Worksheet!$E$80*V164,2)+ROUND(Worksheet!$E$81*W164,2)+ROUND(Worksheet!$E$82*X164,2)),(ROUND(ROUND(S164*ROUND((1-$O164/$P164),4),2)*Worksheet!$E$77,2)+ROUND(ROUND(T164*ROUND((1-$O164/$P164),4),2)*Worksheet!$E$78,2)+ROUND(ROUND(U164*ROUND((1-$O164/$P164),4),2)*Worksheet!$E$79,2)+ROUND(ROUND(V164*ROUND((1-$O164/$P164),4),2)*Worksheet!$E$80,2)+ROUND(ROUND(W164*ROUND((1-$O164/$P164),4),2)*Worksheet!$E$81,2)+ROUND(ROUND(X164*ROUND((1-$O164/$P164),4),2)*Worksheet!$E$82,2))))</f>
        <v>0</v>
      </c>
      <c r="CS164" s="192">
        <f t="shared" si="107"/>
        <v>0</v>
      </c>
      <c r="CT164" s="116">
        <f>ROUND(MIN(BA164,ROUND((ROUND(AS164*Worksheet!$E$104,2)+ROUND(AV164*Worksheet!$E$107,2)+ROUND(AT164*Worksheet!$E$105,2)+ROUND(AW164*Worksheet!$E$108,2)+ROUND(AU164*Worksheet!$E$106,2)+ROUND(AX164*Worksheet!$E$109,2)+ROUND(AY164*Worksheet!$E$110,2)+ROUND(AZ164*Worksheet!$E$111,2))*Worksheet!$D$114,2))*BaseRate,2)</f>
        <v>0</v>
      </c>
      <c r="CU164" s="121">
        <v>0</v>
      </c>
      <c r="CV164" s="121">
        <v>0</v>
      </c>
      <c r="CW164" s="121">
        <v>0</v>
      </c>
      <c r="CX164" s="121">
        <v>0</v>
      </c>
      <c r="CY164" s="121">
        <v>0</v>
      </c>
      <c r="DA164" s="192">
        <f t="shared" si="108"/>
        <v>0</v>
      </c>
      <c r="DB164" s="192">
        <f>MAX(-CT164,MIN(0,ROUND($R164*EFBPercent+EFBAdd,2)-$Q164),MIN(0,SUM($CS164:CS164)+MIN(0,ROUND($R164*EFBPercent+EFBAdd,2)-$Q164)))</f>
        <v>0</v>
      </c>
      <c r="DC164" s="192">
        <f>IF(CU164&lt;0,0,MAX(-CU164,MIN(0,ROUND($R164*EFBPercent+EFBAdd,2)-$Q164),MIN(0,SUM($CS164:CT164)+MIN(0,ROUND($R164*EFBPercent+EFBAdd,2)-$Q164))))</f>
        <v>0</v>
      </c>
      <c r="DD164" s="192">
        <f>IF(CV164&lt;0,0,MAX(-CV164,MIN(0,ROUND($R164*EFBPercent+EFBAdd,2)-$Q164),MIN(0,SUM($CS164:CU164)+MIN(0,ROUND($R164*EFBPercent+EFBAdd,2)-$Q164))))</f>
        <v>0</v>
      </c>
      <c r="DE164" s="192">
        <f>IF(CW164&lt;0,0,MAX(-CW164,MIN(0,ROUND($R164*EFBPercent+EFBAdd,2)-$Q164),MIN(0,SUM($CS164:CV164)+MIN(0,ROUND($R164*EFBPercent+EFBAdd,2)-$Q164))))</f>
        <v>0</v>
      </c>
      <c r="DF164" s="192">
        <f>IF(CX164&lt;0,0,MAX(-CX164,MIN(0,ROUND($R164*EFBPercent+EFBAdd,2)-$Q164),MIN(0,SUM($CS164:CW164)+MIN(0,ROUND($R164*EFBPercent+EFBAdd,2)-$Q164))))</f>
        <v>0</v>
      </c>
      <c r="DG164" s="192">
        <f>MAX(-CY164,MIN(0,ROUND($R164*EFBPercent+EFBAdd,2)-$Q164),MIN(0,SUM($CS164:CX164)+MIN(0,ROUND($R164*EFBPercent+EFBAdd,2)-$Q164)))</f>
        <v>0</v>
      </c>
      <c r="DI164" s="73">
        <f t="shared" si="109"/>
        <v>0</v>
      </c>
      <c r="DJ164" s="73">
        <f t="shared" si="110"/>
        <v>0</v>
      </c>
      <c r="DK164" s="73">
        <f t="shared" si="111"/>
        <v>0</v>
      </c>
      <c r="DL164" s="73">
        <f t="shared" si="112"/>
        <v>0</v>
      </c>
      <c r="DM164" s="73">
        <f t="shared" si="113"/>
        <v>0</v>
      </c>
      <c r="DN164" s="73">
        <f t="shared" si="114"/>
        <v>0</v>
      </c>
      <c r="DO164" s="73">
        <f t="shared" si="115"/>
        <v>0</v>
      </c>
      <c r="DP164" s="73"/>
      <c r="DQ164" s="73"/>
    </row>
    <row r="165" spans="1:121" ht="10.199999999999999" x14ac:dyDescent="0.2">
      <c r="A165" s="4" t="s">
        <v>626</v>
      </c>
      <c r="B165" s="188">
        <v>1095</v>
      </c>
      <c r="C165" s="189" t="s">
        <v>149</v>
      </c>
      <c r="D165" s="4">
        <v>2027</v>
      </c>
      <c r="E165" s="4" t="s">
        <v>462</v>
      </c>
      <c r="F165" s="4">
        <v>2</v>
      </c>
      <c r="G165" s="4" t="s">
        <v>680</v>
      </c>
      <c r="H165" s="4">
        <v>100</v>
      </c>
      <c r="I165" s="4" t="s">
        <v>1152</v>
      </c>
      <c r="J165" s="5">
        <v>310987.04000000004</v>
      </c>
      <c r="K165" s="5">
        <v>32.24</v>
      </c>
      <c r="L165" s="5">
        <v>348</v>
      </c>
      <c r="M165" s="5">
        <v>0</v>
      </c>
      <c r="N165" s="5">
        <v>2503320</v>
      </c>
      <c r="O165" s="5">
        <v>0</v>
      </c>
      <c r="P165" s="5">
        <v>53.5</v>
      </c>
      <c r="Q165" s="5">
        <v>0</v>
      </c>
      <c r="R165" s="5">
        <v>0</v>
      </c>
      <c r="S165" s="5">
        <v>0</v>
      </c>
      <c r="T165" s="5">
        <v>38706.909999999996</v>
      </c>
      <c r="U165" s="5">
        <v>0</v>
      </c>
      <c r="V165" s="5">
        <v>1745.63</v>
      </c>
      <c r="W165" s="5">
        <v>7930.3</v>
      </c>
      <c r="X165" s="5">
        <v>747.34999999999991</v>
      </c>
      <c r="Y165" s="5">
        <v>0</v>
      </c>
      <c r="Z165" s="5">
        <v>0</v>
      </c>
      <c r="AA165" s="5">
        <v>12</v>
      </c>
      <c r="AB165" s="5">
        <v>6</v>
      </c>
      <c r="AC165" s="5">
        <v>9</v>
      </c>
      <c r="AD165" s="5">
        <v>0</v>
      </c>
      <c r="AE165" s="5">
        <v>0</v>
      </c>
      <c r="AF165" s="5">
        <v>0</v>
      </c>
      <c r="AG165" s="5">
        <v>0</v>
      </c>
      <c r="AH165" s="5">
        <v>0.1</v>
      </c>
      <c r="AI165" s="5">
        <v>0</v>
      </c>
      <c r="AJ165" s="5">
        <v>0</v>
      </c>
      <c r="AK165" s="5">
        <v>0</v>
      </c>
      <c r="AL165" s="5">
        <v>23</v>
      </c>
      <c r="AM165" s="5">
        <v>0</v>
      </c>
      <c r="AN165" s="5">
        <v>4</v>
      </c>
      <c r="AO165" s="5">
        <f t="shared" si="141"/>
        <v>0</v>
      </c>
      <c r="AP165" s="5">
        <f t="shared" ref="AP165:AP169" si="149">IF(AM165&gt;0,SUM(Z165:AD165)-AN165,0)</f>
        <v>0</v>
      </c>
      <c r="AQ165" s="5">
        <v>0</v>
      </c>
      <c r="AR165" s="5">
        <v>0</v>
      </c>
      <c r="AS165" s="5">
        <v>0</v>
      </c>
      <c r="AT165" s="5">
        <v>0</v>
      </c>
      <c r="AU165" s="5">
        <v>0</v>
      </c>
      <c r="AV165" s="5">
        <v>0</v>
      </c>
      <c r="AW165" s="199">
        <v>348</v>
      </c>
      <c r="AX165" s="199">
        <v>1</v>
      </c>
      <c r="AY165" s="199">
        <v>57256</v>
      </c>
      <c r="AZ165" s="199">
        <v>0</v>
      </c>
      <c r="BA165" s="5">
        <v>37782.800000000003</v>
      </c>
      <c r="BB165" s="13">
        <v>147946.32</v>
      </c>
      <c r="BC165" s="190">
        <f>MAX(ROUND(IF(F165&lt;4,IF(H165=0,(SUM(Y165:AD165)*Worksheet!$E$26+Y165*Worksheet!$E$27+AR165*Worksheet!$E$39)*-BaseRate,0)),2),MIN(0,-DI165))</f>
        <v>0</v>
      </c>
      <c r="BD165" s="190">
        <f>MAX(ROUND(IF(F165=4,0,IF(I165=0,0,ROUND(SUM(Y165:AD165)*Worksheet!$E$28,2)*-BaseRate)),2),MIN(0,-DI165-BC165))</f>
        <v>-581.65</v>
      </c>
      <c r="BE165" s="130">
        <f t="shared" si="134"/>
        <v>0</v>
      </c>
      <c r="BF165" s="130">
        <f t="shared" si="135"/>
        <v>1412</v>
      </c>
      <c r="BG165" s="73"/>
      <c r="BH165" s="191">
        <f t="shared" si="136"/>
        <v>46556.07</v>
      </c>
      <c r="BI165" s="191">
        <f t="shared" si="137"/>
        <v>9646</v>
      </c>
      <c r="BJ165" s="232">
        <f>IFERROR(ROUND(IF(AND(BB165*1.12&lt;N165*60/1000,N165/CL165&lt;STVPP*0.2),(CL165*STVPP*0.2*Worksheet!$F$88/1000-BB165*1.12)*PropTaxAdj,IF(BB165*1.12&lt;N165*60/1000,(N165*60/1000-BB165*1.12)*PropTaxAdj,0)),2),0)</f>
        <v>0</v>
      </c>
      <c r="BK165" s="192">
        <f>ROUND(IF($F165=4,0,Y165*Worksheet!$E$16),2)</f>
        <v>0</v>
      </c>
      <c r="BL165" s="192">
        <f>ROUND(IF($F165=4,0,Z165*Worksheet!$E$17),2)</f>
        <v>0</v>
      </c>
      <c r="BM165" s="192">
        <f>ROUND(IF($F165=4,0,AA165*Worksheet!$E$18),2)</f>
        <v>12</v>
      </c>
      <c r="BN165" s="192">
        <f>ROUND(IF($F165=4,0,AB165*Worksheet!$E$19),2)</f>
        <v>6</v>
      </c>
      <c r="BO165" s="192">
        <f>ROUND(IF($F165=4,0,AC165*Worksheet!$E$20),2)</f>
        <v>9</v>
      </c>
      <c r="BP165" s="192">
        <f>ROUND(AD165*Worksheet!$E$21,2)</f>
        <v>0</v>
      </c>
      <c r="BQ165" s="192">
        <f t="shared" si="105"/>
        <v>27</v>
      </c>
      <c r="BR165" s="192">
        <f>ROUND(AD165*Worksheet!$E$25,2)</f>
        <v>0</v>
      </c>
      <c r="BS165" s="192">
        <f>ROUND(SUM(BQ165)*Worksheet!$E$26,2)</f>
        <v>2.38</v>
      </c>
      <c r="BT165" s="192">
        <f>ROUND(Y165*Worksheet!$E$27,2)</f>
        <v>0</v>
      </c>
      <c r="BU165" s="192">
        <f>ROUND(AO165*Worksheet!$E$29,2)</f>
        <v>0</v>
      </c>
      <c r="BV165" s="192">
        <f>ROUND(AP165*Worksheet!$E$30,2)</f>
        <v>0</v>
      </c>
      <c r="BW165" s="192">
        <f>ROUND(IF($I165&lt;&gt;0,$BQ165*Worksheet!$E$28,0),2)</f>
        <v>0.05</v>
      </c>
      <c r="BX165" s="192">
        <f>ROUND(AE165*Worksheet!$E$31,2)</f>
        <v>0</v>
      </c>
      <c r="BY165" s="192">
        <f>ROUND(AF165*Worksheet!$E$32,2)</f>
        <v>0</v>
      </c>
      <c r="BZ165" s="192">
        <f>ROUND(AG165*Worksheet!$E$33,2)</f>
        <v>0</v>
      </c>
      <c r="CA165" s="192">
        <f>ROUND(ROUND(AH165*BQ165,2)*Worksheet!$E$34,2)</f>
        <v>7.0000000000000007E-2</v>
      </c>
      <c r="CB165" s="192">
        <f>ROUND(AI165*Worksheet!$E$35,2)</f>
        <v>0</v>
      </c>
      <c r="CC165" s="192">
        <f>ROUND(AJ165*Worksheet!$E$36,2)</f>
        <v>0</v>
      </c>
      <c r="CD165" s="192">
        <f>ROUND(AQ165*Worksheet!$E$38,2)</f>
        <v>0</v>
      </c>
      <c r="CE165" s="192">
        <f>ROUND(AR165*Worksheet!$E$39,2)</f>
        <v>0</v>
      </c>
      <c r="CF165" s="192">
        <f>IF(AND(L165&gt;275,SUM(Y165:AD165)&lt;100),ROUND(SUM(Y165:AD165)*Worksheet!$E$41,2),0)</f>
        <v>2.7</v>
      </c>
      <c r="CG165" s="192">
        <f>IF(AND(L165&gt;600,SUM(Y165:AD165)&lt;50),ROUND((50-SUM(Y165:AD165))*(Worksheet!$E$41+1),2),0)</f>
        <v>0</v>
      </c>
      <c r="CH165" s="192">
        <f t="shared" si="106"/>
        <v>32.200000000000003</v>
      </c>
      <c r="CI165" s="116">
        <f t="shared" si="142"/>
        <v>0</v>
      </c>
      <c r="CJ165" s="116">
        <f t="shared" si="143"/>
        <v>32.200000000000003</v>
      </c>
      <c r="CK165" s="95">
        <f t="shared" si="138"/>
        <v>1.67</v>
      </c>
      <c r="CL165" s="116">
        <f t="shared" si="144"/>
        <v>53.77</v>
      </c>
      <c r="CM165" s="116">
        <f t="shared" si="145"/>
        <v>53.77</v>
      </c>
      <c r="CN165" s="116">
        <f t="shared" si="139"/>
        <v>625506.41</v>
      </c>
      <c r="CO165" s="131">
        <f>ROUND(IF(F165=4,0,(MAX(ROUND(MAX((BI165*MIN(CL165,K165)*Worksheet!$D$126)+MAX(CL165-K165,0)*Worksheet!$F$50,SUM(J165)),2),SUM(CN165))-SUM(CN165))*MinAdj),2)</f>
        <v>0</v>
      </c>
      <c r="CP165" s="192">
        <f t="shared" si="140"/>
        <v>625506.41</v>
      </c>
      <c r="CQ165" s="131">
        <f>IF(CL165=0,0,-MIN(CP165,MIN(CP165,ROUND(IF(ROUND(IF(CL165=0,0,N165/CL165),2)&lt;STVPP*0.2,STVPP*0.2*CL165*Worksheet!$F$88/1000,N165*Worksheet!$F$88/1000),2))))</f>
        <v>-150199.20000000001</v>
      </c>
      <c r="CR165" s="193">
        <f>-MIN(SUM(CP165,CQ165),IF($P165=0,(ROUND(Worksheet!$E$77*S165,2)+ROUND(Worksheet!$E$78*T165,2)+ROUND(Worksheet!$E$79*U165,2)+ROUND(Worksheet!$E$80*V165,2)+ROUND(Worksheet!$E$81*W165,2)+ROUND(Worksheet!$E$82*X165,2)),(ROUND(ROUND(S165*ROUND((1-$O165/$P165),4),2)*Worksheet!$E$77,2)+ROUND(ROUND(T165*ROUND((1-$O165/$P165),4),2)*Worksheet!$E$78,2)+ROUND(ROUND(U165*ROUND((1-$O165/$P165),4),2)*Worksheet!$E$79,2)+ROUND(ROUND(V165*ROUND((1-$O165/$P165),4),2)*Worksheet!$E$80,2)+ROUND(ROUND(W165*ROUND((1-$O165/$P165),4),2)*Worksheet!$E$81,2)+ROUND(ROUND(X165*ROUND((1-$O165/$P165),4),2)*Worksheet!$E$82,2))))</f>
        <v>-36847.640000000007</v>
      </c>
      <c r="CS165" s="192">
        <f t="shared" si="107"/>
        <v>438459.57</v>
      </c>
      <c r="CT165" s="116">
        <f>ROUND(MIN(BA165,ROUND((ROUND(AS165*Worksheet!$E$104,2)+ROUND(AV165*Worksheet!$E$107,2)+ROUND(AT165*Worksheet!$E$105,2)+ROUND(AW165*Worksheet!$E$108,2)+ROUND(AU165*Worksheet!$E$106,2)+ROUND(AX165*Worksheet!$E$109,2)+ROUND(AY165*Worksheet!$E$110,2)+ROUND(AZ165*Worksheet!$E$111,2))*Worksheet!$D$114,2))*BaseRate,2)</f>
        <v>21637.38</v>
      </c>
      <c r="CU165" s="121">
        <v>0</v>
      </c>
      <c r="CV165" s="121">
        <v>0</v>
      </c>
      <c r="CW165" s="121">
        <v>0</v>
      </c>
      <c r="CX165" s="121">
        <v>0</v>
      </c>
      <c r="CY165" s="121">
        <v>0</v>
      </c>
      <c r="DA165" s="192">
        <f t="shared" si="108"/>
        <v>0</v>
      </c>
      <c r="DB165" s="192">
        <f>MAX(-CT165,MIN(0,ROUND($R165*EFBPercent+EFBAdd,2)-$Q165),MIN(0,SUM($CS165:CS165)+MIN(0,ROUND($R165*EFBPercent+EFBAdd,2)-$Q165)))</f>
        <v>0</v>
      </c>
      <c r="DC165" s="192">
        <f>IF(CU165&lt;0,0,MAX(-CU165,MIN(0,ROUND($R165*EFBPercent+EFBAdd,2)-$Q165),MIN(0,SUM($CS165:CT165)+MIN(0,ROUND($R165*EFBPercent+EFBAdd,2)-$Q165))))</f>
        <v>0</v>
      </c>
      <c r="DD165" s="192">
        <f>IF(CV165&lt;0,0,MAX(-CV165,MIN(0,ROUND($R165*EFBPercent+EFBAdd,2)-$Q165),MIN(0,SUM($CS165:CU165)+MIN(0,ROUND($R165*EFBPercent+EFBAdd,2)-$Q165))))</f>
        <v>0</v>
      </c>
      <c r="DE165" s="192">
        <f>IF(CW165&lt;0,0,MAX(-CW165,MIN(0,ROUND($R165*EFBPercent+EFBAdd,2)-$Q165),MIN(0,SUM($CS165:CV165)+MIN(0,ROUND($R165*EFBPercent+EFBAdd,2)-$Q165))))</f>
        <v>0</v>
      </c>
      <c r="DF165" s="192">
        <f>IF(CX165&lt;0,0,MAX(-CX165,MIN(0,ROUND($R165*EFBPercent+EFBAdd,2)-$Q165),MIN(0,SUM($CS165:CW165)+MIN(0,ROUND($R165*EFBPercent+EFBAdd,2)-$Q165))))</f>
        <v>0</v>
      </c>
      <c r="DG165" s="192">
        <f>MAX(-CY165,MIN(0,ROUND($R165*EFBPercent+EFBAdd,2)-$Q165),MIN(0,SUM($CS165:CX165)+MIN(0,ROUND($R165*EFBPercent+EFBAdd,2)-$Q165)))</f>
        <v>0</v>
      </c>
      <c r="DI165" s="73">
        <f t="shared" si="109"/>
        <v>438459.57</v>
      </c>
      <c r="DJ165" s="73">
        <f t="shared" si="110"/>
        <v>21637.38</v>
      </c>
      <c r="DK165" s="73">
        <f t="shared" si="111"/>
        <v>0</v>
      </c>
      <c r="DL165" s="73">
        <f t="shared" si="112"/>
        <v>0</v>
      </c>
      <c r="DM165" s="73">
        <f t="shared" si="113"/>
        <v>0</v>
      </c>
      <c r="DN165" s="73">
        <f t="shared" si="114"/>
        <v>0</v>
      </c>
      <c r="DO165" s="73">
        <f t="shared" si="115"/>
        <v>0</v>
      </c>
      <c r="DP165" s="73"/>
      <c r="DQ165" s="73"/>
    </row>
    <row r="166" spans="1:121" ht="10.199999999999999" x14ac:dyDescent="0.2">
      <c r="A166" s="4" t="s">
        <v>627</v>
      </c>
      <c r="B166" s="188">
        <v>1026</v>
      </c>
      <c r="C166" s="189" t="s">
        <v>150</v>
      </c>
      <c r="D166" s="4">
        <v>2027</v>
      </c>
      <c r="E166" s="4" t="s">
        <v>463</v>
      </c>
      <c r="F166" s="4">
        <v>1</v>
      </c>
      <c r="G166" s="4" t="s">
        <v>681</v>
      </c>
      <c r="H166" s="4">
        <v>100</v>
      </c>
      <c r="I166" s="4" t="s">
        <v>1152</v>
      </c>
      <c r="J166" s="5">
        <v>39689817.439999998</v>
      </c>
      <c r="K166" s="5">
        <v>4114.6400000000003</v>
      </c>
      <c r="L166" s="5">
        <v>498.13</v>
      </c>
      <c r="M166" s="5">
        <v>0</v>
      </c>
      <c r="N166" s="5">
        <v>200865069</v>
      </c>
      <c r="O166" s="5">
        <v>54.79</v>
      </c>
      <c r="P166" s="5">
        <v>146.79</v>
      </c>
      <c r="Q166" s="5">
        <v>0</v>
      </c>
      <c r="R166" s="5">
        <v>0</v>
      </c>
      <c r="S166" s="5">
        <v>194834.76000000004</v>
      </c>
      <c r="T166" s="5">
        <v>2837350.67</v>
      </c>
      <c r="U166" s="5">
        <v>0</v>
      </c>
      <c r="V166" s="5">
        <v>350228.25</v>
      </c>
      <c r="W166" s="5">
        <v>164210.73000000001</v>
      </c>
      <c r="X166" s="5">
        <v>120763.28</v>
      </c>
      <c r="Y166" s="5">
        <v>68.19</v>
      </c>
      <c r="Z166" s="5">
        <v>305</v>
      </c>
      <c r="AA166" s="5">
        <v>1976</v>
      </c>
      <c r="AB166" s="5">
        <v>662</v>
      </c>
      <c r="AC166" s="5">
        <v>1061.95</v>
      </c>
      <c r="AD166" s="5">
        <v>76.05</v>
      </c>
      <c r="AE166" s="5">
        <v>57.910000000000004</v>
      </c>
      <c r="AF166" s="5">
        <v>49.519999999999996</v>
      </c>
      <c r="AG166" s="5">
        <v>86.489999999999981</v>
      </c>
      <c r="AH166" s="5">
        <v>0.33300000000000002</v>
      </c>
      <c r="AI166" s="5">
        <v>0</v>
      </c>
      <c r="AJ166" s="5">
        <v>0</v>
      </c>
      <c r="AK166" s="5">
        <v>81.210000000000008</v>
      </c>
      <c r="AL166" s="5">
        <v>4120.09</v>
      </c>
      <c r="AM166" s="5">
        <v>0</v>
      </c>
      <c r="AN166" s="5">
        <v>4081</v>
      </c>
      <c r="AO166" s="5">
        <f t="shared" si="141"/>
        <v>39.090000000000146</v>
      </c>
      <c r="AP166" s="5">
        <f t="shared" si="149"/>
        <v>0</v>
      </c>
      <c r="AQ166" s="5">
        <v>67.44</v>
      </c>
      <c r="AR166" s="5">
        <v>5.92</v>
      </c>
      <c r="AS166" s="5">
        <v>0</v>
      </c>
      <c r="AT166" s="5">
        <v>301332.96999999997</v>
      </c>
      <c r="AU166" s="5">
        <v>0</v>
      </c>
      <c r="AV166" s="5">
        <v>12228</v>
      </c>
      <c r="AW166" s="199">
        <v>498.13</v>
      </c>
      <c r="AX166" s="199">
        <v>10</v>
      </c>
      <c r="AY166" s="199">
        <v>0</v>
      </c>
      <c r="AZ166" s="199">
        <v>0</v>
      </c>
      <c r="BA166" s="5">
        <v>2127066.08</v>
      </c>
      <c r="BB166" s="13">
        <v>11196253.68</v>
      </c>
      <c r="BC166" s="190">
        <f>MAX(ROUND(IF(F166&lt;4,IF(H166=0,(SUM(Y166:AD166)*Worksheet!$E$26+Y166*Worksheet!$E$27+AR166*Worksheet!$E$39)*-BaseRate,0)),2),MIN(0,-DI166))</f>
        <v>0</v>
      </c>
      <c r="BD166" s="190">
        <f>MAX(ROUND(IF(F166=4,0,IF(I166=0,0,ROUND(SUM(Y166:AD166)*Worksheet!$E$28,2)*-BaseRate)),2),MIN(0,-DI166-BC166))</f>
        <v>-96553.9</v>
      </c>
      <c r="BE166" s="130">
        <f t="shared" si="134"/>
        <v>0</v>
      </c>
      <c r="BF166" s="130">
        <f t="shared" si="135"/>
        <v>1412</v>
      </c>
      <c r="BG166" s="73"/>
      <c r="BH166" s="191">
        <f t="shared" si="136"/>
        <v>43335.65</v>
      </c>
      <c r="BI166" s="191">
        <f t="shared" si="137"/>
        <v>9646</v>
      </c>
      <c r="BJ166" s="232">
        <f>IFERROR(ROUND(IF(AND(BB166*1.12&lt;N166*60/1000,N166/CL166&lt;STVPP*0.2),(CL166*STVPP*0.2*Worksheet!$F$88/1000-BB166*1.12)*PropTaxAdj,IF(BB166*1.12&lt;N166*60/1000,(N166*60/1000-BB166*1.12)*PropTaxAdj,0)),2),0)</f>
        <v>0</v>
      </c>
      <c r="BK166" s="192">
        <f>ROUND(IF($F166=4,0,Y166*Worksheet!$E$16),2)</f>
        <v>68.19</v>
      </c>
      <c r="BL166" s="192">
        <f>ROUND(IF($F166=4,0,Z166*Worksheet!$E$17),2)</f>
        <v>305</v>
      </c>
      <c r="BM166" s="192">
        <f>ROUND(IF($F166=4,0,AA166*Worksheet!$E$18),2)</f>
        <v>1976</v>
      </c>
      <c r="BN166" s="192">
        <f>ROUND(IF($F166=4,0,AB166*Worksheet!$E$19),2)</f>
        <v>662</v>
      </c>
      <c r="BO166" s="192">
        <f>ROUND(IF($F166=4,0,AC166*Worksheet!$E$20),2)</f>
        <v>1061.95</v>
      </c>
      <c r="BP166" s="192">
        <f>ROUND(AD166*Worksheet!$E$21,2)</f>
        <v>76.05</v>
      </c>
      <c r="BQ166" s="192">
        <f t="shared" si="105"/>
        <v>4149.1900000000005</v>
      </c>
      <c r="BR166" s="192">
        <f>ROUND(AD166*Worksheet!$E$25,2)</f>
        <v>19.010000000000002</v>
      </c>
      <c r="BS166" s="192">
        <f>ROUND(SUM(BQ166)*Worksheet!$E$26,2)</f>
        <v>365.13</v>
      </c>
      <c r="BT166" s="192">
        <f>ROUND(Y166*Worksheet!$E$27,2)</f>
        <v>11.59</v>
      </c>
      <c r="BU166" s="192">
        <f>ROUND(AO166*Worksheet!$E$29,2)</f>
        <v>39.090000000000003</v>
      </c>
      <c r="BV166" s="192">
        <f>ROUND(AP166*Worksheet!$E$30,2)</f>
        <v>0</v>
      </c>
      <c r="BW166" s="192">
        <f>ROUND(IF($I166&lt;&gt;0,$BQ166*Worksheet!$E$28,0),2)</f>
        <v>8.3000000000000007</v>
      </c>
      <c r="BX166" s="192">
        <f>ROUND(AE166*Worksheet!$E$31,2)</f>
        <v>23.16</v>
      </c>
      <c r="BY166" s="192">
        <f>ROUND(AF166*Worksheet!$E$32,2)</f>
        <v>13.87</v>
      </c>
      <c r="BZ166" s="192">
        <f>ROUND(AG166*Worksheet!$E$33,2)</f>
        <v>6.05</v>
      </c>
      <c r="CA166" s="192">
        <f>ROUND(ROUND(AH166*BQ166,2)*Worksheet!$E$34,2)</f>
        <v>34.54</v>
      </c>
      <c r="CB166" s="192">
        <f>ROUND(AI166*Worksheet!$E$35,2)</f>
        <v>0</v>
      </c>
      <c r="CC166" s="192">
        <f>ROUND(AJ166*Worksheet!$E$36,2)</f>
        <v>0</v>
      </c>
      <c r="CD166" s="192">
        <f>ROUND(AQ166*Worksheet!$E$38,2)</f>
        <v>40.46</v>
      </c>
      <c r="CE166" s="192">
        <f>ROUND(AR166*Worksheet!$E$39,2)</f>
        <v>5.92</v>
      </c>
      <c r="CF166" s="192">
        <f>IF(AND(L166&gt;275,SUM(Y166:AD166)&lt;100),ROUND(SUM(Y166:AD166)*Worksheet!$E$41,2),0)</f>
        <v>0</v>
      </c>
      <c r="CG166" s="192">
        <f>IF(AND(L166&gt;600,SUM(Y166:AD166)&lt;50),ROUND((50-SUM(Y166:AD166))*(Worksheet!$E$41+1),2),0)</f>
        <v>0</v>
      </c>
      <c r="CH166" s="192">
        <f t="shared" si="106"/>
        <v>4716.3100000000013</v>
      </c>
      <c r="CI166" s="116">
        <f t="shared" si="142"/>
        <v>81.210000000000008</v>
      </c>
      <c r="CJ166" s="116">
        <f t="shared" si="143"/>
        <v>4635.1000000000013</v>
      </c>
      <c r="CK166" s="95">
        <f t="shared" si="138"/>
        <v>1</v>
      </c>
      <c r="CL166" s="116">
        <f t="shared" si="144"/>
        <v>4635.1000000000004</v>
      </c>
      <c r="CM166" s="116">
        <f t="shared" si="145"/>
        <v>4716.3100000000004</v>
      </c>
      <c r="CN166" s="116">
        <f t="shared" si="139"/>
        <v>54864834.229999997</v>
      </c>
      <c r="CO166" s="131">
        <f>ROUND(IF(F166=4,0,(MAX(ROUND(MAX((BI166*MIN(CL166,K166)*Worksheet!$D$126)+MAX(CL166-K166,0)*Worksheet!$F$50,SUM(J166)),2),SUM(CN166))-SUM(CN166))*MinAdj),2)</f>
        <v>0</v>
      </c>
      <c r="CP166" s="192">
        <f t="shared" si="140"/>
        <v>54864834.229999997</v>
      </c>
      <c r="CQ166" s="131">
        <f>IF(CL166=0,0,-MIN(CP166,MIN(CP166,ROUND(IF(ROUND(IF(CL166=0,0,N166/CL166),2)&lt;STVPP*0.2,STVPP*0.2*CL166*Worksheet!$F$88/1000,N166*Worksheet!$F$88/1000),2))))</f>
        <v>-12051904.140000001</v>
      </c>
      <c r="CR166" s="193">
        <f>-MIN(SUM(CP166,CQ166),IF($P166=0,(ROUND(Worksheet!$E$77*S166,2)+ROUND(Worksheet!$E$78*T166,2)+ROUND(Worksheet!$E$79*U166,2)+ROUND(Worksheet!$E$80*V166,2)+ROUND(Worksheet!$E$81*W166,2)+ROUND(Worksheet!$E$82*X166,2)),(ROUND(ROUND(S166*ROUND((1-$O166/$P166),4),2)*Worksheet!$E$77,2)+ROUND(ROUND(T166*ROUND((1-$O166/$P166),4),2)*Worksheet!$E$78,2)+ROUND(ROUND(U166*ROUND((1-$O166/$P166),4),2)*Worksheet!$E$79,2)+ROUND(ROUND(V166*ROUND((1-$O166/$P166),4),2)*Worksheet!$E$80,2)+ROUND(ROUND(W166*ROUND((1-$O166/$P166),4),2)*Worksheet!$E$81,2)+ROUND(ROUND(X166*ROUND((1-$O166/$P166),4),2)*Worksheet!$E$82,2))))</f>
        <v>-1723763.9</v>
      </c>
      <c r="CS166" s="192">
        <f t="shared" si="107"/>
        <v>41089166.189999998</v>
      </c>
      <c r="CT166" s="116">
        <f>ROUND(MIN(BA166,ROUND((ROUND(AS166*Worksheet!$E$104,2)+ROUND(AV166*Worksheet!$E$107,2)+ROUND(AT166*Worksheet!$E$105,2)+ROUND(AW166*Worksheet!$E$108,2)+ROUND(AU166*Worksheet!$E$106,2)+ROUND(AX166*Worksheet!$E$109,2)+ROUND(AY166*Worksheet!$E$110,2)+ROUND(AZ166*Worksheet!$E$111,2))*Worksheet!$D$114,2))*BaseRate,2)</f>
        <v>507896.78</v>
      </c>
      <c r="CU166" s="121">
        <v>267.47000000000003</v>
      </c>
      <c r="CV166" s="121">
        <v>0</v>
      </c>
      <c r="CW166" s="121">
        <v>0</v>
      </c>
      <c r="CX166" s="121">
        <v>0</v>
      </c>
      <c r="CY166" s="121">
        <v>0</v>
      </c>
      <c r="DA166" s="192">
        <f t="shared" si="108"/>
        <v>0</v>
      </c>
      <c r="DB166" s="192">
        <f>MAX(-CT166,MIN(0,ROUND($R166*EFBPercent+EFBAdd,2)-$Q166),MIN(0,SUM($CS166:CS166)+MIN(0,ROUND($R166*EFBPercent+EFBAdd,2)-$Q166)))</f>
        <v>0</v>
      </c>
      <c r="DC166" s="192">
        <f>IF(CU166&lt;0,0,MAX(-CU166,MIN(0,ROUND($R166*EFBPercent+EFBAdd,2)-$Q166),MIN(0,SUM($CS166:CT166)+MIN(0,ROUND($R166*EFBPercent+EFBAdd,2)-$Q166))))</f>
        <v>0</v>
      </c>
      <c r="DD166" s="192">
        <f>IF(CV166&lt;0,0,MAX(-CV166,MIN(0,ROUND($R166*EFBPercent+EFBAdd,2)-$Q166),MIN(0,SUM($CS166:CU166)+MIN(0,ROUND($R166*EFBPercent+EFBAdd,2)-$Q166))))</f>
        <v>0</v>
      </c>
      <c r="DE166" s="192">
        <f>IF(CW166&lt;0,0,MAX(-CW166,MIN(0,ROUND($R166*EFBPercent+EFBAdd,2)-$Q166),MIN(0,SUM($CS166:CV166)+MIN(0,ROUND($R166*EFBPercent+EFBAdd,2)-$Q166))))</f>
        <v>0</v>
      </c>
      <c r="DF166" s="192">
        <f>IF(CX166&lt;0,0,MAX(-CX166,MIN(0,ROUND($R166*EFBPercent+EFBAdd,2)-$Q166),MIN(0,SUM($CS166:CW166)+MIN(0,ROUND($R166*EFBPercent+EFBAdd,2)-$Q166))))</f>
        <v>0</v>
      </c>
      <c r="DG166" s="192">
        <f>MAX(-CY166,MIN(0,ROUND($R166*EFBPercent+EFBAdd,2)-$Q166),MIN(0,SUM($CS166:CX166)+MIN(0,ROUND($R166*EFBPercent+EFBAdd,2)-$Q166)))</f>
        <v>0</v>
      </c>
      <c r="DI166" s="73">
        <f t="shared" si="109"/>
        <v>41089166.189999998</v>
      </c>
      <c r="DJ166" s="73">
        <f t="shared" si="110"/>
        <v>507896.78</v>
      </c>
      <c r="DK166" s="73">
        <f t="shared" si="111"/>
        <v>267.47000000000003</v>
      </c>
      <c r="DL166" s="73">
        <f t="shared" si="112"/>
        <v>0</v>
      </c>
      <c r="DM166" s="73">
        <f t="shared" si="113"/>
        <v>0</v>
      </c>
      <c r="DN166" s="73">
        <f t="shared" si="114"/>
        <v>0</v>
      </c>
      <c r="DO166" s="73">
        <f t="shared" si="115"/>
        <v>0</v>
      </c>
      <c r="DP166" s="73"/>
      <c r="DQ166" s="73"/>
    </row>
    <row r="167" spans="1:121" ht="10.199999999999999" x14ac:dyDescent="0.2">
      <c r="A167" s="4" t="s">
        <v>628</v>
      </c>
      <c r="B167" s="188">
        <v>1146</v>
      </c>
      <c r="C167" s="189" t="s">
        <v>151</v>
      </c>
      <c r="D167" s="4">
        <v>2027</v>
      </c>
      <c r="E167" s="4" t="s">
        <v>464</v>
      </c>
      <c r="F167" s="4">
        <v>1</v>
      </c>
      <c r="G167" s="4" t="s">
        <v>680</v>
      </c>
      <c r="H167" s="4">
        <v>100</v>
      </c>
      <c r="I167" s="4" t="s">
        <v>1152</v>
      </c>
      <c r="J167" s="199">
        <v>3889460.12</v>
      </c>
      <c r="K167" s="199">
        <v>403.22</v>
      </c>
      <c r="L167" s="5">
        <v>303.5</v>
      </c>
      <c r="M167" s="199">
        <v>0</v>
      </c>
      <c r="N167" s="5">
        <v>23298913</v>
      </c>
      <c r="O167" s="5">
        <v>29.9</v>
      </c>
      <c r="P167" s="5">
        <v>90.4</v>
      </c>
      <c r="Q167" s="199">
        <v>0</v>
      </c>
      <c r="R167" s="199">
        <v>0</v>
      </c>
      <c r="S167" s="5">
        <v>37236</v>
      </c>
      <c r="T167" s="5">
        <v>467564.50000000006</v>
      </c>
      <c r="U167" s="5">
        <v>0</v>
      </c>
      <c r="V167" s="5">
        <v>39317.370000000003</v>
      </c>
      <c r="W167" s="5">
        <v>4347.18</v>
      </c>
      <c r="X167" s="5">
        <v>13911.720000000001</v>
      </c>
      <c r="Y167" s="5">
        <v>3.83</v>
      </c>
      <c r="Z167" s="5">
        <v>28</v>
      </c>
      <c r="AA167" s="5">
        <v>206</v>
      </c>
      <c r="AB167" s="5">
        <v>73</v>
      </c>
      <c r="AC167" s="5">
        <v>116</v>
      </c>
      <c r="AD167" s="5">
        <v>0</v>
      </c>
      <c r="AE167" s="5">
        <v>0</v>
      </c>
      <c r="AF167" s="5">
        <v>0</v>
      </c>
      <c r="AG167" s="5">
        <v>0</v>
      </c>
      <c r="AH167" s="5">
        <v>0.14399999999999999</v>
      </c>
      <c r="AI167" s="5">
        <v>0</v>
      </c>
      <c r="AJ167" s="5">
        <v>0</v>
      </c>
      <c r="AK167" s="5">
        <v>0</v>
      </c>
      <c r="AL167" s="5">
        <v>427.26</v>
      </c>
      <c r="AM167" s="5">
        <v>5.3899999999999864</v>
      </c>
      <c r="AN167" s="5">
        <v>423</v>
      </c>
      <c r="AO167" s="5">
        <f t="shared" si="141"/>
        <v>4.2599999999999909</v>
      </c>
      <c r="AP167" s="5">
        <f t="shared" si="149"/>
        <v>0</v>
      </c>
      <c r="AQ167" s="5">
        <v>1.56</v>
      </c>
      <c r="AR167" s="5">
        <v>0</v>
      </c>
      <c r="AS167" s="5">
        <v>0</v>
      </c>
      <c r="AT167" s="5">
        <v>141050</v>
      </c>
      <c r="AU167" s="5">
        <v>0</v>
      </c>
      <c r="AV167" s="5">
        <v>2100</v>
      </c>
      <c r="AW167" s="199">
        <v>303.5</v>
      </c>
      <c r="AX167" s="199">
        <v>1</v>
      </c>
      <c r="AY167" s="199">
        <v>0</v>
      </c>
      <c r="AZ167" s="199">
        <v>0</v>
      </c>
      <c r="BA167" s="5">
        <v>337432.46</v>
      </c>
      <c r="BB167" s="13">
        <v>1400976.18</v>
      </c>
      <c r="BC167" s="190">
        <f>MAX(ROUND(IF(F167&lt;4,IF(H167=0,(SUM(Y167:AD167)*Worksheet!$E$26+Y167*Worksheet!$E$27+AR167*Worksheet!$E$39)*-BaseRate,0)),2),MIN(0,-DI167))</f>
        <v>0</v>
      </c>
      <c r="BD167" s="190">
        <f>MAX(ROUND(IF(F167=4,0,IF(I167=0,0,ROUND(SUM(Y167:AD167)*Worksheet!$E$28,2)*-BaseRate)),2),MIN(0,-DI167-BC167))</f>
        <v>-9888.0499999999993</v>
      </c>
      <c r="BE167" s="130">
        <f t="shared" si="134"/>
        <v>0</v>
      </c>
      <c r="BF167" s="130">
        <f t="shared" si="135"/>
        <v>1412</v>
      </c>
      <c r="BG167" s="73"/>
      <c r="BH167" s="191">
        <f t="shared" si="136"/>
        <v>48329.97</v>
      </c>
      <c r="BI167" s="191">
        <f t="shared" si="137"/>
        <v>9646</v>
      </c>
      <c r="BJ167" s="232">
        <f>IFERROR(ROUND(IF(AND(BB167*1.12&lt;N167*60/1000,N167/CL167&lt;STVPP*0.2),(CL167*STVPP*0.2*Worksheet!$F$88/1000-BB167*1.12)*PropTaxAdj,IF(BB167*1.12&lt;N167*60/1000,(N167*60/1000-BB167*1.12)*PropTaxAdj,0)),2),0)</f>
        <v>0</v>
      </c>
      <c r="BK167" s="192">
        <f>ROUND(IF($F167=4,0,Y167*Worksheet!$E$16),2)</f>
        <v>3.83</v>
      </c>
      <c r="BL167" s="192">
        <f>ROUND(IF($F167=4,0,Z167*Worksheet!$E$17),2)</f>
        <v>28</v>
      </c>
      <c r="BM167" s="192">
        <f>ROUND(IF($F167=4,0,AA167*Worksheet!$E$18),2)</f>
        <v>206</v>
      </c>
      <c r="BN167" s="192">
        <f>ROUND(IF($F167=4,0,AB167*Worksheet!$E$19),2)</f>
        <v>73</v>
      </c>
      <c r="BO167" s="192">
        <f>ROUND(IF($F167=4,0,AC167*Worksheet!$E$20),2)</f>
        <v>116</v>
      </c>
      <c r="BP167" s="192">
        <f>ROUND(AD167*Worksheet!$E$21,2)</f>
        <v>0</v>
      </c>
      <c r="BQ167" s="192">
        <f t="shared" si="105"/>
        <v>426.83</v>
      </c>
      <c r="BR167" s="192">
        <f>ROUND(AD167*Worksheet!$E$25,2)</f>
        <v>0</v>
      </c>
      <c r="BS167" s="192">
        <f>ROUND(SUM(BQ167)*Worksheet!$E$26,2)</f>
        <v>37.56</v>
      </c>
      <c r="BT167" s="192">
        <f>ROUND(Y167*Worksheet!$E$27,2)</f>
        <v>0.65</v>
      </c>
      <c r="BU167" s="192">
        <f>ROUND(AO167*Worksheet!$E$29,2)</f>
        <v>4.26</v>
      </c>
      <c r="BV167" s="192">
        <f>ROUND(AP167*Worksheet!$E$30,2)</f>
        <v>0</v>
      </c>
      <c r="BW167" s="192">
        <f>ROUND(IF($I167&lt;&gt;0,$BQ167*Worksheet!$E$28,0),2)</f>
        <v>0.85</v>
      </c>
      <c r="BX167" s="192">
        <f>ROUND(AE167*Worksheet!$E$31,2)</f>
        <v>0</v>
      </c>
      <c r="BY167" s="192">
        <f>ROUND(AF167*Worksheet!$E$32,2)</f>
        <v>0</v>
      </c>
      <c r="BZ167" s="192">
        <f>ROUND(AG167*Worksheet!$E$33,2)</f>
        <v>0</v>
      </c>
      <c r="CA167" s="192">
        <f>ROUND(ROUND(AH167*BQ167,2)*Worksheet!$E$34,2)</f>
        <v>1.54</v>
      </c>
      <c r="CB167" s="192">
        <f>ROUND(AI167*Worksheet!$E$35,2)</f>
        <v>0</v>
      </c>
      <c r="CC167" s="192">
        <f>ROUND(AJ167*Worksheet!$E$36,2)</f>
        <v>0</v>
      </c>
      <c r="CD167" s="192">
        <f>ROUND(AQ167*Worksheet!$E$38,2)</f>
        <v>0.94</v>
      </c>
      <c r="CE167" s="192">
        <f>ROUND(AR167*Worksheet!$E$39,2)</f>
        <v>0</v>
      </c>
      <c r="CF167" s="192">
        <f>IF(AND(L167&gt;275,SUM(Y167:AD167)&lt;100),ROUND(SUM(Y167:AD167)*Worksheet!$E$41,2),0)</f>
        <v>0</v>
      </c>
      <c r="CG167" s="192">
        <f>IF(AND(L167&gt;600,SUM(Y167:AD167)&lt;50),ROUND((50-SUM(Y167:AD167))*(Worksheet!$E$41+1),2),0)</f>
        <v>0</v>
      </c>
      <c r="CH167" s="192">
        <f t="shared" si="106"/>
        <v>472.63</v>
      </c>
      <c r="CI167" s="116">
        <f t="shared" si="142"/>
        <v>0</v>
      </c>
      <c r="CJ167" s="116">
        <f t="shared" si="143"/>
        <v>472.63</v>
      </c>
      <c r="CK167" s="95">
        <f t="shared" si="138"/>
        <v>1.02</v>
      </c>
      <c r="CL167" s="116">
        <f t="shared" si="144"/>
        <v>482.08</v>
      </c>
      <c r="CM167" s="116">
        <f t="shared" si="145"/>
        <v>482.08</v>
      </c>
      <c r="CN167" s="116">
        <f t="shared" si="139"/>
        <v>5608036.6399999997</v>
      </c>
      <c r="CO167" s="131">
        <f>ROUND(IF(F167=4,0,(MAX(ROUND(MAX((BI167*MIN(CL167,K167)*Worksheet!$D$126)+MAX(CL167-K167,0)*Worksheet!$F$50,SUM(J167)),2),SUM(CN167))-SUM(CN167))*MinAdj),2)</f>
        <v>0</v>
      </c>
      <c r="CP167" s="192">
        <f t="shared" si="140"/>
        <v>5608036.6399999997</v>
      </c>
      <c r="CQ167" s="131">
        <f>IF(CL167=0,0,-MIN(CP167,MIN(CP167,ROUND(IF(ROUND(IF(CL167=0,0,N167/CL167),2)&lt;STVPP*0.2,STVPP*0.2*CL167*Worksheet!$F$88/1000,N167*Worksheet!$F$88/1000),2))))</f>
        <v>-1397934.78</v>
      </c>
      <c r="CR167" s="193">
        <f>-MIN(SUM(CP167,CQ167),IF($P167=0,(ROUND(Worksheet!$E$77*S167,2)+ROUND(Worksheet!$E$78*T167,2)+ROUND(Worksheet!$E$79*U167,2)+ROUND(Worksheet!$E$80*V167,2)+ROUND(Worksheet!$E$81*W167,2)+ROUND(Worksheet!$E$82*X167,2)),(ROUND(ROUND(S167*ROUND((1-$O167/$P167),4),2)*Worksheet!$E$77,2)+ROUND(ROUND(T167*ROUND((1-$O167/$P167),4),2)*Worksheet!$E$78,2)+ROUND(ROUND(U167*ROUND((1-$O167/$P167),4),2)*Worksheet!$E$79,2)+ROUND(ROUND(V167*ROUND((1-$O167/$P167),4),2)*Worksheet!$E$80,2)+ROUND(ROUND(W167*ROUND((1-$O167/$P167),4),2)*Worksheet!$E$81,2)+ROUND(ROUND(X167*ROUND((1-$O167/$P167),4),2)*Worksheet!$E$82,2))))</f>
        <v>-282256.89999999997</v>
      </c>
      <c r="CS167" s="192">
        <f t="shared" si="107"/>
        <v>3927844.9599999995</v>
      </c>
      <c r="CT167" s="116">
        <f>ROUND(MIN(BA167,ROUND((ROUND(AS167*Worksheet!$E$104,2)+ROUND(AV167*Worksheet!$E$107,2)+ROUND(AT167*Worksheet!$E$105,2)+ROUND(AW167*Worksheet!$E$108,2)+ROUND(AU167*Worksheet!$E$106,2)+ROUND(AX167*Worksheet!$E$109,2)+ROUND(AY167*Worksheet!$E$110,2)+ROUND(AZ167*Worksheet!$E$111,2))*Worksheet!$D$114,2))*BaseRate,2)</f>
        <v>192409.82</v>
      </c>
      <c r="CU167" s="121">
        <v>0</v>
      </c>
      <c r="CV167" s="121">
        <v>0</v>
      </c>
      <c r="CW167" s="121">
        <v>0</v>
      </c>
      <c r="CX167" s="121">
        <v>0</v>
      </c>
      <c r="CY167" s="121">
        <v>0</v>
      </c>
      <c r="DA167" s="192">
        <f t="shared" si="108"/>
        <v>0</v>
      </c>
      <c r="DB167" s="192">
        <f>MAX(-CT167,MIN(0,ROUND($R167*EFBPercent+EFBAdd,2)-$Q167),MIN(0,SUM($CS167:CS167)+MIN(0,ROUND($R167*EFBPercent+EFBAdd,2)-$Q167)))</f>
        <v>0</v>
      </c>
      <c r="DC167" s="192">
        <f>IF(CU167&lt;0,0,MAX(-CU167,MIN(0,ROUND($R167*EFBPercent+EFBAdd,2)-$Q167),MIN(0,SUM($CS167:CT167)+MIN(0,ROUND($R167*EFBPercent+EFBAdd,2)-$Q167))))</f>
        <v>0</v>
      </c>
      <c r="DD167" s="192">
        <f>IF(CV167&lt;0,0,MAX(-CV167,MIN(0,ROUND($R167*EFBPercent+EFBAdd,2)-$Q167),MIN(0,SUM($CS167:CU167)+MIN(0,ROUND($R167*EFBPercent+EFBAdd,2)-$Q167))))</f>
        <v>0</v>
      </c>
      <c r="DE167" s="192">
        <f>IF(CW167&lt;0,0,MAX(-CW167,MIN(0,ROUND($R167*EFBPercent+EFBAdd,2)-$Q167),MIN(0,SUM($CS167:CV167)+MIN(0,ROUND($R167*EFBPercent+EFBAdd,2)-$Q167))))</f>
        <v>0</v>
      </c>
      <c r="DF167" s="192">
        <f>IF(CX167&lt;0,0,MAX(-CX167,MIN(0,ROUND($R167*EFBPercent+EFBAdd,2)-$Q167),MIN(0,SUM($CS167:CW167)+MIN(0,ROUND($R167*EFBPercent+EFBAdd,2)-$Q167))))</f>
        <v>0</v>
      </c>
      <c r="DG167" s="192">
        <f>MAX(-CY167,MIN(0,ROUND($R167*EFBPercent+EFBAdd,2)-$Q167),MIN(0,SUM($CS167:CX167)+MIN(0,ROUND($R167*EFBPercent+EFBAdd,2)-$Q167)))</f>
        <v>0</v>
      </c>
      <c r="DI167" s="73">
        <f t="shared" si="109"/>
        <v>3927844.9599999995</v>
      </c>
      <c r="DJ167" s="73">
        <f t="shared" si="110"/>
        <v>192409.82</v>
      </c>
      <c r="DK167" s="73">
        <f t="shared" si="111"/>
        <v>0</v>
      </c>
      <c r="DL167" s="73">
        <f t="shared" si="112"/>
        <v>0</v>
      </c>
      <c r="DM167" s="73">
        <f t="shared" si="113"/>
        <v>0</v>
      </c>
      <c r="DN167" s="73">
        <f t="shared" si="114"/>
        <v>0</v>
      </c>
      <c r="DO167" s="73">
        <f t="shared" si="115"/>
        <v>0</v>
      </c>
      <c r="DP167" s="73"/>
      <c r="DQ167" s="73"/>
    </row>
    <row r="168" spans="1:121" ht="10.199999999999999" x14ac:dyDescent="0.2">
      <c r="A168" s="4" t="s">
        <v>629</v>
      </c>
      <c r="B168" s="188">
        <v>1009</v>
      </c>
      <c r="C168" s="189" t="s">
        <v>152</v>
      </c>
      <c r="D168" s="4">
        <v>2027</v>
      </c>
      <c r="E168" s="4" t="s">
        <v>465</v>
      </c>
      <c r="F168" s="4">
        <v>1</v>
      </c>
      <c r="G168" s="4" t="s">
        <v>680</v>
      </c>
      <c r="H168" s="4">
        <v>100</v>
      </c>
      <c r="I168" s="4" t="s">
        <v>1152</v>
      </c>
      <c r="J168" s="5">
        <v>3266328.5199999996</v>
      </c>
      <c r="K168" s="5">
        <v>338.62</v>
      </c>
      <c r="L168" s="5">
        <v>144</v>
      </c>
      <c r="M168" s="5">
        <v>0</v>
      </c>
      <c r="N168" s="5">
        <v>14252221</v>
      </c>
      <c r="O168" s="5">
        <v>0</v>
      </c>
      <c r="P168" s="5">
        <v>102.98</v>
      </c>
      <c r="Q168" s="5">
        <v>0</v>
      </c>
      <c r="R168" s="5">
        <v>0</v>
      </c>
      <c r="S168" s="5">
        <v>221720.86</v>
      </c>
      <c r="T168" s="5">
        <v>290900.12000000005</v>
      </c>
      <c r="U168" s="5">
        <v>0</v>
      </c>
      <c r="V168" s="5">
        <v>30785.77</v>
      </c>
      <c r="W168" s="5">
        <v>3721.6000000000004</v>
      </c>
      <c r="X168" s="5">
        <v>15215.03</v>
      </c>
      <c r="Y168" s="5">
        <v>7.62</v>
      </c>
      <c r="Z168" s="5">
        <v>20</v>
      </c>
      <c r="AA168" s="5">
        <v>94</v>
      </c>
      <c r="AB168" s="5">
        <v>43</v>
      </c>
      <c r="AC168" s="5">
        <v>78</v>
      </c>
      <c r="AD168" s="5">
        <v>0</v>
      </c>
      <c r="AE168" s="5">
        <v>0</v>
      </c>
      <c r="AF168" s="5">
        <v>1</v>
      </c>
      <c r="AG168" s="5">
        <v>0</v>
      </c>
      <c r="AH168" s="5">
        <v>0.46800000000000003</v>
      </c>
      <c r="AI168" s="5">
        <v>0</v>
      </c>
      <c r="AJ168" s="5">
        <v>0</v>
      </c>
      <c r="AK168" s="5">
        <v>0</v>
      </c>
      <c r="AL168" s="5">
        <v>237.81</v>
      </c>
      <c r="AM168" s="5">
        <v>0.86000000000001364</v>
      </c>
      <c r="AN168" s="5">
        <v>235</v>
      </c>
      <c r="AO168" s="5">
        <f t="shared" si="141"/>
        <v>2.8100000000000023</v>
      </c>
      <c r="AP168" s="5">
        <f t="shared" si="149"/>
        <v>0</v>
      </c>
      <c r="AQ168" s="5">
        <v>0</v>
      </c>
      <c r="AR168" s="5">
        <v>0</v>
      </c>
      <c r="AS168" s="5">
        <v>0</v>
      </c>
      <c r="AT168" s="5">
        <v>39904</v>
      </c>
      <c r="AU168" s="5">
        <v>0</v>
      </c>
      <c r="AV168" s="5">
        <v>688</v>
      </c>
      <c r="AW168" s="199">
        <v>144</v>
      </c>
      <c r="AX168" s="199">
        <v>1</v>
      </c>
      <c r="AY168" s="199">
        <v>0</v>
      </c>
      <c r="AZ168" s="199">
        <v>0</v>
      </c>
      <c r="BA168" s="5">
        <v>101331.68</v>
      </c>
      <c r="BB168" s="13">
        <v>848003.22</v>
      </c>
      <c r="BC168" s="190">
        <f>MAX(ROUND(IF(F168&lt;4,IF(H168=0,(SUM(Y168:AD168)*Worksheet!$E$26+Y168*Worksheet!$E$27+AR168*Worksheet!$E$39)*-BaseRate,0)),2),MIN(0,-DI168))</f>
        <v>0</v>
      </c>
      <c r="BD168" s="190">
        <f>MAX(ROUND(IF(F168=4,0,IF(I168=0,0,ROUND(SUM(Y168:AD168)*Worksheet!$E$28,2)*-BaseRate)),2),MIN(0,-DI168-BC168))</f>
        <v>-5700.17</v>
      </c>
      <c r="BE168" s="130">
        <f t="shared" si="134"/>
        <v>0</v>
      </c>
      <c r="BF168" s="130">
        <f t="shared" si="135"/>
        <v>1412</v>
      </c>
      <c r="BG168" s="73"/>
      <c r="BH168" s="191">
        <f t="shared" si="136"/>
        <v>42998.31</v>
      </c>
      <c r="BI168" s="191">
        <f t="shared" si="137"/>
        <v>9646</v>
      </c>
      <c r="BJ168" s="232">
        <f>IFERROR(ROUND(IF(AND(BB168*1.12&lt;N168*60/1000,N168/CL168&lt;STVPP*0.2),(CL168*STVPP*0.2*Worksheet!$F$88/1000-BB168*1.12)*PropTaxAdj,IF(BB168*1.12&lt;N168*60/1000,(N168*60/1000-BB168*1.12)*PropTaxAdj,0)),2),0)</f>
        <v>0</v>
      </c>
      <c r="BK168" s="192">
        <f>ROUND(IF($F168=4,0,Y168*Worksheet!$E$16),2)</f>
        <v>7.62</v>
      </c>
      <c r="BL168" s="192">
        <f>ROUND(IF($F168=4,0,Z168*Worksheet!$E$17),2)</f>
        <v>20</v>
      </c>
      <c r="BM168" s="192">
        <f>ROUND(IF($F168=4,0,AA168*Worksheet!$E$18),2)</f>
        <v>94</v>
      </c>
      <c r="BN168" s="192">
        <f>ROUND(IF($F168=4,0,AB168*Worksheet!$E$19),2)</f>
        <v>43</v>
      </c>
      <c r="BO168" s="192">
        <f>ROUND(IF($F168=4,0,AC168*Worksheet!$E$20),2)</f>
        <v>78</v>
      </c>
      <c r="BP168" s="192">
        <f>ROUND(AD168*Worksheet!$E$21,2)</f>
        <v>0</v>
      </c>
      <c r="BQ168" s="192">
        <f t="shared" si="105"/>
        <v>242.62</v>
      </c>
      <c r="BR168" s="192">
        <f>ROUND(AD168*Worksheet!$E$25,2)</f>
        <v>0</v>
      </c>
      <c r="BS168" s="192">
        <f>ROUND(SUM(BQ168)*Worksheet!$E$26,2)</f>
        <v>21.35</v>
      </c>
      <c r="BT168" s="192">
        <f>ROUND(Y168*Worksheet!$E$27,2)</f>
        <v>1.3</v>
      </c>
      <c r="BU168" s="192">
        <f>ROUND(AO168*Worksheet!$E$29,2)</f>
        <v>2.81</v>
      </c>
      <c r="BV168" s="192">
        <f>ROUND(AP168*Worksheet!$E$30,2)</f>
        <v>0</v>
      </c>
      <c r="BW168" s="192">
        <f>ROUND(IF($I168&lt;&gt;0,$BQ168*Worksheet!$E$28,0),2)</f>
        <v>0.49</v>
      </c>
      <c r="BX168" s="192">
        <f>ROUND(AE168*Worksheet!$E$31,2)</f>
        <v>0</v>
      </c>
      <c r="BY168" s="192">
        <f>ROUND(AF168*Worksheet!$E$32,2)</f>
        <v>0.28000000000000003</v>
      </c>
      <c r="BZ168" s="192">
        <f>ROUND(AG168*Worksheet!$E$33,2)</f>
        <v>0</v>
      </c>
      <c r="CA168" s="192">
        <f>ROUND(ROUND(AH168*BQ168,2)*Worksheet!$E$34,2)</f>
        <v>2.84</v>
      </c>
      <c r="CB168" s="192">
        <f>ROUND(AI168*Worksheet!$E$35,2)</f>
        <v>0</v>
      </c>
      <c r="CC168" s="192">
        <f>ROUND(AJ168*Worksheet!$E$36,2)</f>
        <v>0</v>
      </c>
      <c r="CD168" s="192">
        <f>ROUND(AQ168*Worksheet!$E$38,2)</f>
        <v>0</v>
      </c>
      <c r="CE168" s="192">
        <f>ROUND(AR168*Worksheet!$E$39,2)</f>
        <v>0</v>
      </c>
      <c r="CF168" s="192">
        <f>IF(AND(L168&gt;275,SUM(Y168:AD168)&lt;100),ROUND(SUM(Y168:AD168)*Worksheet!$E$41,2),0)</f>
        <v>0</v>
      </c>
      <c r="CG168" s="192">
        <f>IF(AND(L168&gt;600,SUM(Y168:AD168)&lt;50),ROUND((50-SUM(Y168:AD168))*(Worksheet!$E$41+1),2),0)</f>
        <v>0</v>
      </c>
      <c r="CH168" s="192">
        <f t="shared" si="106"/>
        <v>271.69</v>
      </c>
      <c r="CI168" s="116">
        <f t="shared" si="142"/>
        <v>0</v>
      </c>
      <c r="CJ168" s="116">
        <f t="shared" si="143"/>
        <v>271.69</v>
      </c>
      <c r="CK168" s="95">
        <f t="shared" si="138"/>
        <v>1.22</v>
      </c>
      <c r="CL168" s="116">
        <f t="shared" si="144"/>
        <v>331.46</v>
      </c>
      <c r="CM168" s="116">
        <f t="shared" si="145"/>
        <v>331.46</v>
      </c>
      <c r="CN168" s="116">
        <f t="shared" si="139"/>
        <v>3855874.18</v>
      </c>
      <c r="CO168" s="131">
        <f>ROUND(IF(F168=4,0,(MAX(ROUND(MAX((BI168*MIN(CL168,K168)*Worksheet!$D$126)+MAX(CL168-K168,0)*Worksheet!$F$50,SUM(J168)),2),SUM(CN168))-SUM(CN168))*MinAdj),2)</f>
        <v>0</v>
      </c>
      <c r="CP168" s="192">
        <f t="shared" si="140"/>
        <v>3855874.18</v>
      </c>
      <c r="CQ168" s="131">
        <f>IF(CL168=0,0,-MIN(CP168,MIN(CP168,ROUND(IF(ROUND(IF(CL168=0,0,N168/CL168),2)&lt;STVPP*0.2,STVPP*0.2*CL168*Worksheet!$F$88/1000,N168*Worksheet!$F$88/1000),2))))</f>
        <v>-855133.26</v>
      </c>
      <c r="CR168" s="193">
        <f>-MIN(SUM(CP168,CQ168),IF($P168=0,(ROUND(Worksheet!$E$77*S168,2)+ROUND(Worksheet!$E$78*T168,2)+ROUND(Worksheet!$E$79*U168,2)+ROUND(Worksheet!$E$80*V168,2)+ROUND(Worksheet!$E$81*W168,2)+ROUND(Worksheet!$E$82*X168,2)),(ROUND(ROUND(S168*ROUND((1-$O168/$P168),4),2)*Worksheet!$E$77,2)+ROUND(ROUND(T168*ROUND((1-$O168/$P168),4),2)*Worksheet!$E$78,2)+ROUND(ROUND(U168*ROUND((1-$O168/$P168),4),2)*Worksheet!$E$79,2)+ROUND(ROUND(V168*ROUND((1-$O168/$P168),4),2)*Worksheet!$E$80,2)+ROUND(ROUND(W168*ROUND((1-$O168/$P168),4),2)*Worksheet!$E$81,2)+ROUND(ROUND(X168*ROUND((1-$O168/$P168),4),2)*Worksheet!$E$82,2))))</f>
        <v>-421757.54000000004</v>
      </c>
      <c r="CS168" s="192">
        <f t="shared" si="107"/>
        <v>2578983.38</v>
      </c>
      <c r="CT168" s="116">
        <f>ROUND(MIN(BA168,ROUND((ROUND(AS168*Worksheet!$E$104,2)+ROUND(AV168*Worksheet!$E$107,2)+ROUND(AT168*Worksheet!$E$105,2)+ROUND(AW168*Worksheet!$E$108,2)+ROUND(AU168*Worksheet!$E$106,2)+ROUND(AX168*Worksheet!$E$109,2)+ROUND(AY168*Worksheet!$E$110,2)+ROUND(AZ168*Worksheet!$E$111,2))*Worksheet!$D$114,2))*BaseRate,2)</f>
        <v>57699.68</v>
      </c>
      <c r="CU168" s="121">
        <v>0</v>
      </c>
      <c r="CV168" s="121">
        <v>0</v>
      </c>
      <c r="CW168" s="121">
        <v>0</v>
      </c>
      <c r="CX168" s="121">
        <v>0</v>
      </c>
      <c r="CY168" s="121">
        <v>0</v>
      </c>
      <c r="DA168" s="192">
        <f t="shared" si="108"/>
        <v>0</v>
      </c>
      <c r="DB168" s="192">
        <f>MAX(-CT168,MIN(0,ROUND($R168*EFBPercent+EFBAdd,2)-$Q168),MIN(0,SUM($CS168:CS168)+MIN(0,ROUND($R168*EFBPercent+EFBAdd,2)-$Q168)))</f>
        <v>0</v>
      </c>
      <c r="DC168" s="192">
        <f>IF(CU168&lt;0,0,MAX(-CU168,MIN(0,ROUND($R168*EFBPercent+EFBAdd,2)-$Q168),MIN(0,SUM($CS168:CT168)+MIN(0,ROUND($R168*EFBPercent+EFBAdd,2)-$Q168))))</f>
        <v>0</v>
      </c>
      <c r="DD168" s="192">
        <f>IF(CV168&lt;0,0,MAX(-CV168,MIN(0,ROUND($R168*EFBPercent+EFBAdd,2)-$Q168),MIN(0,SUM($CS168:CU168)+MIN(0,ROUND($R168*EFBPercent+EFBAdd,2)-$Q168))))</f>
        <v>0</v>
      </c>
      <c r="DE168" s="192">
        <f>IF(CW168&lt;0,0,MAX(-CW168,MIN(0,ROUND($R168*EFBPercent+EFBAdd,2)-$Q168),MIN(0,SUM($CS168:CV168)+MIN(0,ROUND($R168*EFBPercent+EFBAdd,2)-$Q168))))</f>
        <v>0</v>
      </c>
      <c r="DF168" s="192">
        <f>IF(CX168&lt;0,0,MAX(-CX168,MIN(0,ROUND($R168*EFBPercent+EFBAdd,2)-$Q168),MIN(0,SUM($CS168:CW168)+MIN(0,ROUND($R168*EFBPercent+EFBAdd,2)-$Q168))))</f>
        <v>0</v>
      </c>
      <c r="DG168" s="192">
        <f>MAX(-CY168,MIN(0,ROUND($R168*EFBPercent+EFBAdd,2)-$Q168),MIN(0,SUM($CS168:CX168)+MIN(0,ROUND($R168*EFBPercent+EFBAdd,2)-$Q168)))</f>
        <v>0</v>
      </c>
      <c r="DI168" s="73">
        <f t="shared" si="109"/>
        <v>2578983.38</v>
      </c>
      <c r="DJ168" s="73">
        <f t="shared" si="110"/>
        <v>57699.68</v>
      </c>
      <c r="DK168" s="73">
        <f t="shared" si="111"/>
        <v>0</v>
      </c>
      <c r="DL168" s="73">
        <f t="shared" si="112"/>
        <v>0</v>
      </c>
      <c r="DM168" s="73">
        <f t="shared" si="113"/>
        <v>0</v>
      </c>
      <c r="DN168" s="73">
        <f t="shared" si="114"/>
        <v>0</v>
      </c>
      <c r="DO168" s="73">
        <f t="shared" si="115"/>
        <v>0</v>
      </c>
      <c r="DP168" s="73"/>
      <c r="DQ168" s="73"/>
    </row>
    <row r="169" spans="1:121" ht="10.199999999999999" x14ac:dyDescent="0.2">
      <c r="A169" s="4" t="s">
        <v>630</v>
      </c>
      <c r="B169" s="188">
        <v>1135</v>
      </c>
      <c r="C169" s="189" t="s">
        <v>153</v>
      </c>
      <c r="D169" s="4">
        <v>2027</v>
      </c>
      <c r="E169" s="4" t="s">
        <v>466</v>
      </c>
      <c r="F169" s="4">
        <v>1</v>
      </c>
      <c r="G169" s="4" t="s">
        <v>680</v>
      </c>
      <c r="H169" s="4">
        <v>100</v>
      </c>
      <c r="I169" s="4" t="s">
        <v>1152</v>
      </c>
      <c r="J169" s="5">
        <v>3818860.5200000005</v>
      </c>
      <c r="K169" s="5">
        <v>394.25</v>
      </c>
      <c r="L169" s="5">
        <v>579.5</v>
      </c>
      <c r="M169" s="5">
        <v>0</v>
      </c>
      <c r="N169" s="5">
        <v>15365143</v>
      </c>
      <c r="O169" s="5">
        <v>46.01</v>
      </c>
      <c r="P169" s="5">
        <v>138.01</v>
      </c>
      <c r="Q169" s="5">
        <v>0</v>
      </c>
      <c r="R169" s="5">
        <v>0</v>
      </c>
      <c r="S169" s="5">
        <v>222191.65</v>
      </c>
      <c r="T169" s="5">
        <v>407822.12</v>
      </c>
      <c r="U169" s="5">
        <v>0</v>
      </c>
      <c r="V169" s="5">
        <v>38523.24</v>
      </c>
      <c r="W169" s="5">
        <v>4544.97</v>
      </c>
      <c r="X169" s="5">
        <v>13272.5</v>
      </c>
      <c r="Y169" s="5">
        <v>1.01</v>
      </c>
      <c r="Z169" s="5">
        <v>27</v>
      </c>
      <c r="AA169" s="5">
        <v>156</v>
      </c>
      <c r="AB169" s="5">
        <v>48</v>
      </c>
      <c r="AC169" s="5">
        <v>90</v>
      </c>
      <c r="AD169" s="5">
        <v>0</v>
      </c>
      <c r="AE169" s="5">
        <v>1.65</v>
      </c>
      <c r="AF169" s="5">
        <v>0.11</v>
      </c>
      <c r="AG169" s="5">
        <v>1.52</v>
      </c>
      <c r="AH169" s="5">
        <v>0.379</v>
      </c>
      <c r="AI169" s="5">
        <v>0</v>
      </c>
      <c r="AJ169" s="5">
        <v>0</v>
      </c>
      <c r="AK169" s="5">
        <v>0</v>
      </c>
      <c r="AL169" s="5">
        <v>323.85000000000002</v>
      </c>
      <c r="AM169" s="5">
        <v>2.839999999999975</v>
      </c>
      <c r="AN169" s="5">
        <v>321</v>
      </c>
      <c r="AO169" s="5">
        <f t="shared" si="141"/>
        <v>2.8500000000000227</v>
      </c>
      <c r="AP169" s="5">
        <f t="shared" si="149"/>
        <v>0</v>
      </c>
      <c r="AQ169" s="5">
        <v>2.0099999999999998</v>
      </c>
      <c r="AR169" s="5">
        <v>0</v>
      </c>
      <c r="AS169" s="5">
        <v>0</v>
      </c>
      <c r="AT169" s="5">
        <v>137894.39999999999</v>
      </c>
      <c r="AU169" s="5">
        <v>0</v>
      </c>
      <c r="AV169" s="5">
        <v>4704</v>
      </c>
      <c r="AW169" s="199">
        <v>579.5</v>
      </c>
      <c r="AX169" s="199">
        <v>2</v>
      </c>
      <c r="AY169" s="199">
        <v>0</v>
      </c>
      <c r="AZ169" s="199">
        <v>0</v>
      </c>
      <c r="BA169" s="5">
        <v>288298.18</v>
      </c>
      <c r="BB169" s="13">
        <v>909416.04</v>
      </c>
      <c r="BC169" s="190">
        <f>MAX(ROUND(IF(F169&lt;4,IF(H169=0,(SUM(Y169:AD169)*Worksheet!$E$26+Y169*Worksheet!$E$27+AR169*Worksheet!$E$39)*-BaseRate,0)),2),MIN(0,-DI169))</f>
        <v>0</v>
      </c>
      <c r="BD169" s="190">
        <f>MAX(ROUND(IF(F169=4,0,IF(I169=0,0,ROUND(SUM(Y169:AD169)*Worksheet!$E$28,2)*-BaseRate)),2),MIN(0,-DI169-BC169))</f>
        <v>-7445.12</v>
      </c>
      <c r="BE169" s="130">
        <f t="shared" si="134"/>
        <v>0</v>
      </c>
      <c r="BF169" s="130">
        <f t="shared" si="135"/>
        <v>1412</v>
      </c>
      <c r="BG169" s="73"/>
      <c r="BH169" s="191">
        <f t="shared" si="136"/>
        <v>39146.86</v>
      </c>
      <c r="BI169" s="191">
        <f t="shared" si="137"/>
        <v>9686.39</v>
      </c>
      <c r="BJ169" s="232">
        <f>IFERROR(ROUND(IF(AND(BB169*1.12&lt;N169*60/1000,N169/CL169&lt;STVPP*0.2),(CL169*STVPP*0.2*Worksheet!$F$88/1000-BB169*1.12)*PropTaxAdj,IF(BB169*1.12&lt;N169*60/1000,(N169*60/1000-BB169*1.12)*PropTaxAdj,0)),2),0)</f>
        <v>0</v>
      </c>
      <c r="BK169" s="192">
        <f>ROUND(IF($F169=4,0,Y169*Worksheet!$E$16),2)</f>
        <v>1.01</v>
      </c>
      <c r="BL169" s="192">
        <f>ROUND(IF($F169=4,0,Z169*Worksheet!$E$17),2)</f>
        <v>27</v>
      </c>
      <c r="BM169" s="192">
        <f>ROUND(IF($F169=4,0,AA169*Worksheet!$E$18),2)</f>
        <v>156</v>
      </c>
      <c r="BN169" s="192">
        <f>ROUND(IF($F169=4,0,AB169*Worksheet!$E$19),2)</f>
        <v>48</v>
      </c>
      <c r="BO169" s="192">
        <f>ROUND(IF($F169=4,0,AC169*Worksheet!$E$20),2)</f>
        <v>90</v>
      </c>
      <c r="BP169" s="192">
        <f>ROUND(AD169*Worksheet!$E$21,2)</f>
        <v>0</v>
      </c>
      <c r="BQ169" s="192">
        <f t="shared" si="105"/>
        <v>322.01</v>
      </c>
      <c r="BR169" s="192">
        <f>ROUND(AD169*Worksheet!$E$25,2)</f>
        <v>0</v>
      </c>
      <c r="BS169" s="192">
        <f>ROUND(SUM(BQ169)*Worksheet!$E$26,2)</f>
        <v>28.34</v>
      </c>
      <c r="BT169" s="192">
        <f>ROUND(Y169*Worksheet!$E$27,2)</f>
        <v>0.17</v>
      </c>
      <c r="BU169" s="192">
        <f>ROUND(AO169*Worksheet!$E$29,2)</f>
        <v>2.85</v>
      </c>
      <c r="BV169" s="192">
        <f>ROUND(AP169*Worksheet!$E$30,2)</f>
        <v>0</v>
      </c>
      <c r="BW169" s="192">
        <f>ROUND(IF($I169&lt;&gt;0,$BQ169*Worksheet!$E$28,0),2)</f>
        <v>0.64</v>
      </c>
      <c r="BX169" s="192">
        <f>ROUND(AE169*Worksheet!$E$31,2)</f>
        <v>0.66</v>
      </c>
      <c r="BY169" s="192">
        <f>ROUND(AF169*Worksheet!$E$32,2)</f>
        <v>0.03</v>
      </c>
      <c r="BZ169" s="192">
        <f>ROUND(AG169*Worksheet!$E$33,2)</f>
        <v>0.11</v>
      </c>
      <c r="CA169" s="192">
        <f>ROUND(ROUND(AH169*BQ169,2)*Worksheet!$E$34,2)</f>
        <v>3.05</v>
      </c>
      <c r="CB169" s="192">
        <f>ROUND(AI169*Worksheet!$E$35,2)</f>
        <v>0</v>
      </c>
      <c r="CC169" s="192">
        <f>ROUND(AJ169*Worksheet!$E$36,2)</f>
        <v>0</v>
      </c>
      <c r="CD169" s="192">
        <f>ROUND(AQ169*Worksheet!$E$38,2)</f>
        <v>1.21</v>
      </c>
      <c r="CE169" s="192">
        <f>ROUND(AR169*Worksheet!$E$39,2)</f>
        <v>0</v>
      </c>
      <c r="CF169" s="192">
        <f>IF(AND(L169&gt;275,SUM(Y169:AD169)&lt;100),ROUND(SUM(Y169:AD169)*Worksheet!$E$41,2),0)</f>
        <v>0</v>
      </c>
      <c r="CG169" s="192">
        <f>IF(AND(L169&gt;600,SUM(Y169:AD169)&lt;50),ROUND((50-SUM(Y169:AD169))*(Worksheet!$E$41+1),2),0)</f>
        <v>0</v>
      </c>
      <c r="CH169" s="192">
        <f t="shared" si="106"/>
        <v>359.07</v>
      </c>
      <c r="CI169" s="116">
        <f t="shared" si="142"/>
        <v>0</v>
      </c>
      <c r="CJ169" s="116">
        <f t="shared" si="143"/>
        <v>359.07</v>
      </c>
      <c r="CK169" s="95">
        <f t="shared" si="138"/>
        <v>1.0931</v>
      </c>
      <c r="CL169" s="116">
        <f t="shared" si="144"/>
        <v>392.5</v>
      </c>
      <c r="CM169" s="116">
        <f t="shared" si="145"/>
        <v>392.5</v>
      </c>
      <c r="CN169" s="116">
        <f t="shared" si="139"/>
        <v>4565952.5</v>
      </c>
      <c r="CO169" s="131">
        <f>ROUND(IF(F169=4,0,(MAX(ROUND(MAX((BI169*MIN(CL169,K169)*Worksheet!$D$126)+MAX(CL169-K169,0)*Worksheet!$F$50,SUM(J169)),2),SUM(CN169))-SUM(CN169))*MinAdj),2)</f>
        <v>0</v>
      </c>
      <c r="CP169" s="192">
        <f t="shared" si="140"/>
        <v>4565952.5</v>
      </c>
      <c r="CQ169" s="131">
        <f>IF(CL169=0,0,-MIN(CP169,MIN(CP169,ROUND(IF(ROUND(IF(CL169=0,0,N169/CL169),2)&lt;STVPP*0.2,STVPP*0.2*CL169*Worksheet!$F$88/1000,N169*Worksheet!$F$88/1000),2))))</f>
        <v>-921908.58</v>
      </c>
      <c r="CR169" s="193">
        <f>-MIN(SUM(CP169,CQ169),IF($P169=0,(ROUND(Worksheet!$E$77*S169,2)+ROUND(Worksheet!$E$78*T169,2)+ROUND(Worksheet!$E$79*U169,2)+ROUND(Worksheet!$E$80*V169,2)+ROUND(Worksheet!$E$81*W169,2)+ROUND(Worksheet!$E$82*X169,2)),(ROUND(ROUND(S169*ROUND((1-$O169/$P169),4),2)*Worksheet!$E$77,2)+ROUND(ROUND(T169*ROUND((1-$O169/$P169),4),2)*Worksheet!$E$78,2)+ROUND(ROUND(U169*ROUND((1-$O169/$P169),4),2)*Worksheet!$E$79,2)+ROUND(ROUND(V169*ROUND((1-$O169/$P169),4),2)*Worksheet!$E$80,2)+ROUND(ROUND(W169*ROUND((1-$O169/$P169),4),2)*Worksheet!$E$81,2)+ROUND(ROUND(X169*ROUND((1-$O169/$P169),4),2)*Worksheet!$E$82,2))))</f>
        <v>-343142.92000000004</v>
      </c>
      <c r="CS169" s="192">
        <f t="shared" si="107"/>
        <v>3300901</v>
      </c>
      <c r="CT169" s="116">
        <f>ROUND(MIN(BA169,ROUND((ROUND(AS169*Worksheet!$E$104,2)+ROUND(AV169*Worksheet!$E$107,2)+ROUND(AT169*Worksheet!$E$105,2)+ROUND(AW169*Worksheet!$E$108,2)+ROUND(AU169*Worksheet!$E$106,2)+ROUND(AX169*Worksheet!$E$109,2)+ROUND(AY169*Worksheet!$E$110,2)+ROUND(AZ169*Worksheet!$E$111,2))*Worksheet!$D$114,2))*BaseRate,2)</f>
        <v>221957.64</v>
      </c>
      <c r="CU169" s="121">
        <v>0</v>
      </c>
      <c r="CV169" s="121">
        <v>0</v>
      </c>
      <c r="CW169" s="121">
        <v>0</v>
      </c>
      <c r="CX169" s="121">
        <v>0</v>
      </c>
      <c r="CY169" s="121">
        <v>0</v>
      </c>
      <c r="DA169" s="192">
        <f t="shared" si="108"/>
        <v>0</v>
      </c>
      <c r="DB169" s="192">
        <f>MAX(-CT169,MIN(0,ROUND($R169*EFBPercent+EFBAdd,2)-$Q169),MIN(0,SUM($CS169:CS169)+MIN(0,ROUND($R169*EFBPercent+EFBAdd,2)-$Q169)))</f>
        <v>0</v>
      </c>
      <c r="DC169" s="192">
        <f>IF(CU169&lt;0,0,MAX(-CU169,MIN(0,ROUND($R169*EFBPercent+EFBAdd,2)-$Q169),MIN(0,SUM($CS169:CT169)+MIN(0,ROUND($R169*EFBPercent+EFBAdd,2)-$Q169))))</f>
        <v>0</v>
      </c>
      <c r="DD169" s="192">
        <f>IF(CV169&lt;0,0,MAX(-CV169,MIN(0,ROUND($R169*EFBPercent+EFBAdd,2)-$Q169),MIN(0,SUM($CS169:CU169)+MIN(0,ROUND($R169*EFBPercent+EFBAdd,2)-$Q169))))</f>
        <v>0</v>
      </c>
      <c r="DE169" s="192">
        <f>IF(CW169&lt;0,0,MAX(-CW169,MIN(0,ROUND($R169*EFBPercent+EFBAdd,2)-$Q169),MIN(0,SUM($CS169:CV169)+MIN(0,ROUND($R169*EFBPercent+EFBAdd,2)-$Q169))))</f>
        <v>0</v>
      </c>
      <c r="DF169" s="192">
        <f>IF(CX169&lt;0,0,MAX(-CX169,MIN(0,ROUND($R169*EFBPercent+EFBAdd,2)-$Q169),MIN(0,SUM($CS169:CW169)+MIN(0,ROUND($R169*EFBPercent+EFBAdd,2)-$Q169))))</f>
        <v>0</v>
      </c>
      <c r="DG169" s="192">
        <f>MAX(-CY169,MIN(0,ROUND($R169*EFBPercent+EFBAdd,2)-$Q169),MIN(0,SUM($CS169:CX169)+MIN(0,ROUND($R169*EFBPercent+EFBAdd,2)-$Q169)))</f>
        <v>0</v>
      </c>
      <c r="DI169" s="73">
        <f t="shared" si="109"/>
        <v>3300901</v>
      </c>
      <c r="DJ169" s="73">
        <f t="shared" si="110"/>
        <v>221957.64</v>
      </c>
      <c r="DK169" s="73">
        <f t="shared" si="111"/>
        <v>0</v>
      </c>
      <c r="DL169" s="73">
        <f t="shared" si="112"/>
        <v>0</v>
      </c>
      <c r="DM169" s="73">
        <f t="shared" si="113"/>
        <v>0</v>
      </c>
      <c r="DN169" s="73">
        <f t="shared" si="114"/>
        <v>0</v>
      </c>
      <c r="DO169" s="73">
        <f t="shared" si="115"/>
        <v>0</v>
      </c>
      <c r="DP169" s="73"/>
      <c r="DQ169" s="73"/>
    </row>
    <row r="170" spans="1:121" ht="10.199999999999999" x14ac:dyDescent="0.2">
      <c r="A170" s="4" t="s">
        <v>680</v>
      </c>
      <c r="B170" s="188">
        <v>2532</v>
      </c>
      <c r="C170" s="189" t="s">
        <v>197</v>
      </c>
      <c r="D170" s="4">
        <v>2027</v>
      </c>
      <c r="E170" s="4" t="s">
        <v>1058</v>
      </c>
      <c r="F170" s="4">
        <v>7</v>
      </c>
      <c r="G170" s="4" t="s">
        <v>680</v>
      </c>
      <c r="H170" s="4">
        <v>0</v>
      </c>
      <c r="I170" s="4">
        <v>0</v>
      </c>
      <c r="J170" s="199">
        <v>0</v>
      </c>
      <c r="K170" s="199">
        <v>0</v>
      </c>
      <c r="L170" s="199">
        <v>0</v>
      </c>
      <c r="M170" s="199">
        <v>0</v>
      </c>
      <c r="N170" s="5">
        <v>0</v>
      </c>
      <c r="O170" s="199">
        <v>0</v>
      </c>
      <c r="P170" s="199">
        <v>0</v>
      </c>
      <c r="Q170" s="199">
        <v>0</v>
      </c>
      <c r="R170" s="199">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f t="shared" si="141"/>
        <v>0</v>
      </c>
      <c r="AP170" s="199">
        <v>0</v>
      </c>
      <c r="AQ170" s="5">
        <v>0</v>
      </c>
      <c r="AR170" s="5">
        <v>0</v>
      </c>
      <c r="AS170" s="5">
        <v>0</v>
      </c>
      <c r="AT170" s="5">
        <v>0</v>
      </c>
      <c r="AU170" s="5">
        <v>0</v>
      </c>
      <c r="AV170" s="5">
        <v>0</v>
      </c>
      <c r="AW170" s="199">
        <v>0</v>
      </c>
      <c r="AX170" s="199">
        <v>0</v>
      </c>
      <c r="AY170" s="199">
        <v>0</v>
      </c>
      <c r="AZ170" s="199">
        <v>0</v>
      </c>
      <c r="BA170" s="5">
        <v>0</v>
      </c>
      <c r="BB170" s="13">
        <v>0</v>
      </c>
      <c r="BC170" s="190">
        <f>MAX(ROUND(IF(F170&lt;4,IF(H170=0,(SUM(Y170:AD170)*Worksheet!$E$26+Y170*Worksheet!$E$27+AR170*Worksheet!$E$39)*-BaseRate,0)),2),MIN(0,-DI170))</f>
        <v>0</v>
      </c>
      <c r="BD170" s="190">
        <f>MAX(ROUND(IF(F170=4,0,IF(I170=0,0,ROUND(SUM(Y170:AD170)*Worksheet!$E$28,2)*-BaseRate)),2),MIN(0,-DI170-BC170))</f>
        <v>0</v>
      </c>
      <c r="BE170" s="130">
        <f t="shared" si="134"/>
        <v>0</v>
      </c>
      <c r="BF170" s="130">
        <f t="shared" si="135"/>
        <v>0</v>
      </c>
      <c r="BG170" s="73"/>
      <c r="BH170" s="191">
        <f t="shared" si="136"/>
        <v>0</v>
      </c>
      <c r="BI170" s="191">
        <f t="shared" si="137"/>
        <v>0</v>
      </c>
      <c r="BJ170" s="232">
        <f>IFERROR(ROUND(IF(AND(BB170*1.12&lt;N170*60/1000,N170/CL170&lt;STVPP*0.2),(CL170*STVPP*0.2*Worksheet!$F$88/1000-BB170*1.12)*PropTaxAdj,IF(BB170*1.12&lt;N170*60/1000,(N170*60/1000-BB170*1.12)*PropTaxAdj,0)),2),0)</f>
        <v>0</v>
      </c>
      <c r="BK170" s="192">
        <f>ROUND(IF($F170=4,0,Y170*Worksheet!$E$16),2)</f>
        <v>0</v>
      </c>
      <c r="BL170" s="192">
        <f>ROUND(IF($F170=4,0,Z170*Worksheet!$E$17),2)</f>
        <v>0</v>
      </c>
      <c r="BM170" s="192">
        <f>ROUND(IF($F170=4,0,AA170*Worksheet!$E$18),2)</f>
        <v>0</v>
      </c>
      <c r="BN170" s="192">
        <f>ROUND(IF($F170=4,0,AB170*Worksheet!$E$19),2)</f>
        <v>0</v>
      </c>
      <c r="BO170" s="192">
        <f>ROUND(IF($F170=4,0,AC170*Worksheet!$E$20),2)</f>
        <v>0</v>
      </c>
      <c r="BP170" s="192">
        <f>ROUND(AD170*Worksheet!$E$21,2)</f>
        <v>0</v>
      </c>
      <c r="BQ170" s="192">
        <f t="shared" si="105"/>
        <v>0</v>
      </c>
      <c r="BR170" s="192">
        <f>ROUND(AD170*Worksheet!$E$25,2)</f>
        <v>0</v>
      </c>
      <c r="BS170" s="192">
        <f>ROUND(SUM(BQ170)*Worksheet!$E$26,2)</f>
        <v>0</v>
      </c>
      <c r="BT170" s="192">
        <f>ROUND(Y170*Worksheet!$E$27,2)</f>
        <v>0</v>
      </c>
      <c r="BU170" s="192">
        <f>ROUND(AO170*Worksheet!$E$29,2)</f>
        <v>0</v>
      </c>
      <c r="BV170" s="192">
        <f>ROUND(AP170*Worksheet!$E$30,2)</f>
        <v>0</v>
      </c>
      <c r="BW170" s="192">
        <f>ROUND(IF($I170&lt;&gt;0,$BQ170*Worksheet!$E$28,0),2)</f>
        <v>0</v>
      </c>
      <c r="BX170" s="192">
        <f>ROUND(AE170*Worksheet!$E$31,2)</f>
        <v>0</v>
      </c>
      <c r="BY170" s="192">
        <f>ROUND(AF170*Worksheet!$E$32,2)</f>
        <v>0</v>
      </c>
      <c r="BZ170" s="192">
        <f>ROUND(AG170*Worksheet!$E$33,2)</f>
        <v>0</v>
      </c>
      <c r="CA170" s="192">
        <f>ROUND(ROUND(AH170*BQ170,2)*Worksheet!$E$34,2)</f>
        <v>0</v>
      </c>
      <c r="CB170" s="192">
        <f>ROUND(AI170*Worksheet!$E$35,2)</f>
        <v>0</v>
      </c>
      <c r="CC170" s="192">
        <f>ROUND(AJ170*Worksheet!$E$36,2)</f>
        <v>0</v>
      </c>
      <c r="CD170" s="192">
        <f>ROUND(AQ170*Worksheet!$E$38,2)</f>
        <v>0</v>
      </c>
      <c r="CE170" s="192">
        <f>ROUND(AR170*Worksheet!$E$39,2)</f>
        <v>0</v>
      </c>
      <c r="CF170" s="192">
        <f>IF(AND(L170&gt;275,SUM(Y170:AD170)&lt;100),ROUND(SUM(Y170:AD170)*Worksheet!$E$41,2),0)</f>
        <v>0</v>
      </c>
      <c r="CG170" s="192">
        <f>IF(AND(L170&gt;600,SUM(Y170:AD170)&lt;50),ROUND((50-SUM(Y170:AD170))*(Worksheet!$E$41+1),2),0)</f>
        <v>0</v>
      </c>
      <c r="CH170" s="192">
        <f t="shared" si="106"/>
        <v>0</v>
      </c>
      <c r="CI170" s="192">
        <f t="shared" si="142"/>
        <v>0</v>
      </c>
      <c r="CJ170" s="192">
        <f t="shared" si="143"/>
        <v>0</v>
      </c>
      <c r="CK170" s="242">
        <f t="shared" si="138"/>
        <v>0</v>
      </c>
      <c r="CL170" s="192">
        <f t="shared" si="144"/>
        <v>0</v>
      </c>
      <c r="CM170" s="192">
        <f t="shared" si="145"/>
        <v>0</v>
      </c>
      <c r="CN170" s="192">
        <f t="shared" si="139"/>
        <v>0</v>
      </c>
      <c r="CO170" s="193">
        <f>ROUND(IF(F170=4,0,(MAX(ROUND(MAX((BI170*MIN(CL170,K170)*Worksheet!$D$126)+MAX(CL170-K170,0)*Worksheet!$F$50,SUM(J170)),2),SUM(CN170))-SUM(CN170))*MinAdj),2)</f>
        <v>0</v>
      </c>
      <c r="CP170" s="192">
        <f t="shared" si="140"/>
        <v>0</v>
      </c>
      <c r="CQ170" s="193">
        <f>IF(CL170=0,0,-MIN(CP170,MIN(CP170,ROUND(IF(ROUND(IF(CL170=0,0,N170/CL170),2)&lt;STVPP*0.2,STVPP*0.2*CL170*Worksheet!$F$88/1000,N170*Worksheet!$F$88/1000),2))))</f>
        <v>0</v>
      </c>
      <c r="CR170" s="193">
        <f>-MIN(SUM(CP170,CQ170),IF($P170=0,(ROUND(Worksheet!$E$77*S170,2)+ROUND(Worksheet!$E$78*T170,2)+ROUND(Worksheet!$E$79*U170,2)+ROUND(Worksheet!$E$80*V170,2)+ROUND(Worksheet!$E$81*W170,2)+ROUND(Worksheet!$E$82*X170,2)),(ROUND(ROUND(S170*ROUND((1-$O170/$P170),4),2)*Worksheet!$E$77,2)+ROUND(ROUND(T170*ROUND((1-$O170/$P170),4),2)*Worksheet!$E$78,2)+ROUND(ROUND(U170*ROUND((1-$O170/$P170),4),2)*Worksheet!$E$79,2)+ROUND(ROUND(V170*ROUND((1-$O170/$P170),4),2)*Worksheet!$E$80,2)+ROUND(ROUND(W170*ROUND((1-$O170/$P170),4),2)*Worksheet!$E$81,2)+ROUND(ROUND(X170*ROUND((1-$O170/$P170),4),2)*Worksheet!$E$82,2))))</f>
        <v>0</v>
      </c>
      <c r="CS170" s="192">
        <f t="shared" si="107"/>
        <v>0</v>
      </c>
      <c r="CT170" s="192">
        <f>ROUND(MIN(BA170,ROUND((ROUND(AS170*Worksheet!$E$104,2)+ROUND(AV170*Worksheet!$E$107,2)+ROUND(AT170*Worksheet!$E$105,2)+ROUND(AW170*Worksheet!$E$108,2)+ROUND(AU170*Worksheet!$E$106,2)+ROUND(AX170*Worksheet!$E$109,2)+ROUND(AY170*Worksheet!$E$110,2)+ROUND(AZ170*Worksheet!$E$111,2))*Worksheet!$D$114,2))*BaseRate,2)</f>
        <v>0</v>
      </c>
      <c r="CU170" s="261">
        <v>0</v>
      </c>
      <c r="CV170" s="261">
        <v>0</v>
      </c>
      <c r="CW170" s="261">
        <v>0</v>
      </c>
      <c r="CX170" s="261">
        <v>0</v>
      </c>
      <c r="CY170" s="261">
        <v>0</v>
      </c>
      <c r="DA170" s="192">
        <f t="shared" si="108"/>
        <v>0</v>
      </c>
      <c r="DB170" s="192">
        <f>MAX(-CT170,MIN(0,ROUND($R170*EFBPercent+EFBAdd,2)-$Q170),MIN(0,SUM($CS170:CS170)+MIN(0,ROUND($R170*EFBPercent+EFBAdd,2)-$Q170)))</f>
        <v>0</v>
      </c>
      <c r="DC170" s="192">
        <f>IF(CU170&lt;0,0,MAX(-CU170,MIN(0,ROUND($R170*EFBPercent+EFBAdd,2)-$Q170),MIN(0,SUM($CS170:CT170)+MIN(0,ROUND($R170*EFBPercent+EFBAdd,2)-$Q170))))</f>
        <v>0</v>
      </c>
      <c r="DD170" s="192">
        <f>IF(CV170&lt;0,0,MAX(-CV170,MIN(0,ROUND($R170*EFBPercent+EFBAdd,2)-$Q170),MIN(0,SUM($CS170:CU170)+MIN(0,ROUND($R170*EFBPercent+EFBAdd,2)-$Q170))))</f>
        <v>0</v>
      </c>
      <c r="DE170" s="192">
        <f>IF(CW170&lt;0,0,MAX(-CW170,MIN(0,ROUND($R170*EFBPercent+EFBAdd,2)-$Q170),MIN(0,SUM($CS170:CV170)+MIN(0,ROUND($R170*EFBPercent+EFBAdd,2)-$Q170))))</f>
        <v>0</v>
      </c>
      <c r="DF170" s="192">
        <f>IF(CX170&lt;0,0,MAX(-CX170,MIN(0,ROUND($R170*EFBPercent+EFBAdd,2)-$Q170),MIN(0,SUM($CS170:CW170)+MIN(0,ROUND($R170*EFBPercent+EFBAdd,2)-$Q170))))</f>
        <v>0</v>
      </c>
      <c r="DG170" s="192">
        <f>MAX(-CY170,MIN(0,ROUND($R170*EFBPercent+EFBAdd,2)-$Q170),MIN(0,SUM($CS170:CX170)+MIN(0,ROUND($R170*EFBPercent+EFBAdd,2)-$Q170)))</f>
        <v>0</v>
      </c>
      <c r="DI170" s="73">
        <f t="shared" si="109"/>
        <v>0</v>
      </c>
      <c r="DJ170" s="73">
        <f t="shared" si="110"/>
        <v>0</v>
      </c>
      <c r="DK170" s="73">
        <f t="shared" si="111"/>
        <v>0</v>
      </c>
      <c r="DL170" s="73">
        <f t="shared" si="112"/>
        <v>0</v>
      </c>
      <c r="DM170" s="73">
        <f t="shared" si="113"/>
        <v>0</v>
      </c>
      <c r="DN170" s="73">
        <f t="shared" si="114"/>
        <v>0</v>
      </c>
      <c r="DO170" s="73">
        <f t="shared" si="115"/>
        <v>0</v>
      </c>
      <c r="DP170" s="73"/>
      <c r="DQ170" s="73"/>
    </row>
    <row r="171" spans="1:121" ht="10.199999999999999" x14ac:dyDescent="0.2">
      <c r="A171" s="4" t="s">
        <v>681</v>
      </c>
      <c r="B171" s="188">
        <v>2503</v>
      </c>
      <c r="C171" s="189" t="s">
        <v>198</v>
      </c>
      <c r="D171" s="4">
        <v>2027</v>
      </c>
      <c r="E171" s="4" t="s">
        <v>1047</v>
      </c>
      <c r="F171" s="4">
        <v>7</v>
      </c>
      <c r="G171" s="4" t="s">
        <v>681</v>
      </c>
      <c r="H171" s="4">
        <v>0</v>
      </c>
      <c r="I171" s="4">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f t="shared" si="141"/>
        <v>0</v>
      </c>
      <c r="AP171" s="5">
        <v>0</v>
      </c>
      <c r="AQ171" s="5">
        <v>0</v>
      </c>
      <c r="AR171" s="5">
        <v>0</v>
      </c>
      <c r="AS171" s="5">
        <v>0</v>
      </c>
      <c r="AT171" s="5">
        <v>0</v>
      </c>
      <c r="AU171" s="5">
        <v>0</v>
      </c>
      <c r="AV171" s="5">
        <v>0</v>
      </c>
      <c r="AW171" s="199">
        <v>0</v>
      </c>
      <c r="AX171" s="199">
        <v>0</v>
      </c>
      <c r="AY171" s="199">
        <v>0</v>
      </c>
      <c r="AZ171" s="199">
        <v>0</v>
      </c>
      <c r="BA171" s="5">
        <v>0</v>
      </c>
      <c r="BB171" s="13">
        <v>0</v>
      </c>
      <c r="BC171" s="190">
        <f>MAX(ROUND(IF(F171&lt;4,IF(H171=0,(SUM(Y171:AD171)*Worksheet!$E$26+Y171*Worksheet!$E$27+AR171*Worksheet!$E$39)*-BaseRate,0)),2),MIN(0,-DI171))</f>
        <v>0</v>
      </c>
      <c r="BD171" s="190">
        <f>MAX(ROUND(IF(F171=4,0,IF(I171=0,0,ROUND(SUM(Y171:AD171)*Worksheet!$E$28,2)*-BaseRate)),2),MIN(0,-DI171-BC171))</f>
        <v>0</v>
      </c>
      <c r="BE171" s="130">
        <f t="shared" si="134"/>
        <v>0</v>
      </c>
      <c r="BF171" s="130">
        <f t="shared" si="135"/>
        <v>0</v>
      </c>
      <c r="BG171" s="73"/>
      <c r="BH171" s="191">
        <f t="shared" si="136"/>
        <v>0</v>
      </c>
      <c r="BI171" s="191">
        <f t="shared" si="137"/>
        <v>0</v>
      </c>
      <c r="BJ171" s="232">
        <f>IFERROR(ROUND(IF(AND(BB171*1.12&lt;N171*60/1000,N171/CL171&lt;STVPP*0.2),(CL171*STVPP*0.2*Worksheet!$F$88/1000-BB171*1.12)*PropTaxAdj,IF(BB171*1.12&lt;N171*60/1000,(N171*60/1000-BB171*1.12)*PropTaxAdj,0)),2),0)</f>
        <v>0</v>
      </c>
      <c r="BK171" s="192">
        <f>ROUND(IF($F171=4,0,Y171*Worksheet!$E$16),2)</f>
        <v>0</v>
      </c>
      <c r="BL171" s="192">
        <f>ROUND(IF($F171=4,0,Z171*Worksheet!$E$17),2)</f>
        <v>0</v>
      </c>
      <c r="BM171" s="192">
        <f>ROUND(IF($F171=4,0,AA171*Worksheet!$E$18),2)</f>
        <v>0</v>
      </c>
      <c r="BN171" s="192">
        <f>ROUND(IF($F171=4,0,AB171*Worksheet!$E$19),2)</f>
        <v>0</v>
      </c>
      <c r="BO171" s="192">
        <f>ROUND(IF($F171=4,0,AC171*Worksheet!$E$20),2)</f>
        <v>0</v>
      </c>
      <c r="BP171" s="192">
        <f>ROUND(AD171*Worksheet!$E$21,2)</f>
        <v>0</v>
      </c>
      <c r="BQ171" s="192">
        <f t="shared" si="105"/>
        <v>0</v>
      </c>
      <c r="BR171" s="192">
        <f>ROUND(AD171*Worksheet!$E$25,2)</f>
        <v>0</v>
      </c>
      <c r="BS171" s="192">
        <f>ROUND(SUM(BQ171)*Worksheet!$E$26,2)</f>
        <v>0</v>
      </c>
      <c r="BT171" s="192">
        <f>ROUND(Y171*Worksheet!$E$27,2)</f>
        <v>0</v>
      </c>
      <c r="BU171" s="192">
        <f>ROUND(AO171*Worksheet!$E$29,2)</f>
        <v>0</v>
      </c>
      <c r="BV171" s="192">
        <f>ROUND(AP171*Worksheet!$E$30,2)</f>
        <v>0</v>
      </c>
      <c r="BW171" s="192">
        <f>ROUND(IF($I171&lt;&gt;0,$BQ171*Worksheet!$E$28,0),2)</f>
        <v>0</v>
      </c>
      <c r="BX171" s="192">
        <f>ROUND(AE171*Worksheet!$E$31,2)</f>
        <v>0</v>
      </c>
      <c r="BY171" s="192">
        <f>ROUND(AF171*Worksheet!$E$32,2)</f>
        <v>0</v>
      </c>
      <c r="BZ171" s="192">
        <f>ROUND(AG171*Worksheet!$E$33,2)</f>
        <v>0</v>
      </c>
      <c r="CA171" s="192">
        <f>ROUND(ROUND(AH171*BQ171,2)*Worksheet!$E$34,2)</f>
        <v>0</v>
      </c>
      <c r="CB171" s="192">
        <f>ROUND(AI171*Worksheet!$E$35,2)</f>
        <v>0</v>
      </c>
      <c r="CC171" s="192">
        <f>ROUND(AJ171*Worksheet!$E$36,2)</f>
        <v>0</v>
      </c>
      <c r="CD171" s="192">
        <f>ROUND(AQ171*Worksheet!$E$38,2)</f>
        <v>0</v>
      </c>
      <c r="CE171" s="192">
        <f>ROUND(AR171*Worksheet!$E$39,2)</f>
        <v>0</v>
      </c>
      <c r="CF171" s="192">
        <f>IF(AND(L171&gt;275,SUM(Y171:AD171)&lt;100),ROUND(SUM(Y171:AD171)*Worksheet!$E$41,2),0)</f>
        <v>0</v>
      </c>
      <c r="CG171" s="192">
        <f>IF(AND(L171&gt;600,SUM(Y171:AD171)&lt;50),ROUND((50-SUM(Y171:AD171))*(Worksheet!$E$41+1),2),0)</f>
        <v>0</v>
      </c>
      <c r="CH171" s="192">
        <f t="shared" si="106"/>
        <v>0</v>
      </c>
      <c r="CI171" s="116">
        <f t="shared" si="142"/>
        <v>0</v>
      </c>
      <c r="CJ171" s="116">
        <f t="shared" si="143"/>
        <v>0</v>
      </c>
      <c r="CK171" s="95">
        <f t="shared" si="138"/>
        <v>0</v>
      </c>
      <c r="CL171" s="116">
        <f t="shared" si="144"/>
        <v>0</v>
      </c>
      <c r="CM171" s="116">
        <f t="shared" si="145"/>
        <v>0</v>
      </c>
      <c r="CN171" s="116">
        <f t="shared" si="139"/>
        <v>0</v>
      </c>
      <c r="CO171" s="131">
        <f>ROUND(IF(F171=4,0,(MAX(ROUND(MAX((BI171*MIN(CL171,K171)*Worksheet!$D$126)+MAX(CL171-K171,0)*Worksheet!$F$50,SUM(J171)),2),SUM(CN171))-SUM(CN171))*MinAdj),2)</f>
        <v>0</v>
      </c>
      <c r="CP171" s="192">
        <f t="shared" si="140"/>
        <v>0</v>
      </c>
      <c r="CQ171" s="131">
        <f>IF(CL171=0,0,-MIN(CP171,MIN(CP171,ROUND(IF(ROUND(IF(CL171=0,0,N171/CL171),2)&lt;STVPP*0.2,STVPP*0.2*CL171*Worksheet!$F$88/1000,N171*Worksheet!$F$88/1000),2))))</f>
        <v>0</v>
      </c>
      <c r="CR171" s="193">
        <f>-MIN(SUM(CP171,CQ171),IF($P171=0,(ROUND(Worksheet!$E$77*S171,2)+ROUND(Worksheet!$E$78*T171,2)+ROUND(Worksheet!$E$79*U171,2)+ROUND(Worksheet!$E$80*V171,2)+ROUND(Worksheet!$E$81*W171,2)+ROUND(Worksheet!$E$82*X171,2)),(ROUND(ROUND(S171*ROUND((1-$O171/$P171),4),2)*Worksheet!$E$77,2)+ROUND(ROUND(T171*ROUND((1-$O171/$P171),4),2)*Worksheet!$E$78,2)+ROUND(ROUND(U171*ROUND((1-$O171/$P171),4),2)*Worksheet!$E$79,2)+ROUND(ROUND(V171*ROUND((1-$O171/$P171),4),2)*Worksheet!$E$80,2)+ROUND(ROUND(W171*ROUND((1-$O171/$P171),4),2)*Worksheet!$E$81,2)+ROUND(ROUND(X171*ROUND((1-$O171/$P171),4),2)*Worksheet!$E$82,2))))</f>
        <v>0</v>
      </c>
      <c r="CS171" s="192">
        <f t="shared" si="107"/>
        <v>0</v>
      </c>
      <c r="CT171" s="116">
        <f>ROUND(MIN(BA171,ROUND((ROUND(AS171*Worksheet!$E$104,2)+ROUND(AV171*Worksheet!$E$107,2)+ROUND(AT171*Worksheet!$E$105,2)+ROUND(AW171*Worksheet!$E$108,2)+ROUND(AU171*Worksheet!$E$106,2)+ROUND(AX171*Worksheet!$E$109,2)+ROUND(AY171*Worksheet!$E$110,2)+ROUND(AZ171*Worksheet!$E$111,2))*Worksheet!$D$114,2))*BaseRate,2)</f>
        <v>0</v>
      </c>
      <c r="CU171" s="121">
        <v>0</v>
      </c>
      <c r="CV171" s="121">
        <v>5768.09</v>
      </c>
      <c r="CW171" s="121">
        <v>0</v>
      </c>
      <c r="CX171" s="121">
        <v>0</v>
      </c>
      <c r="CY171" s="121">
        <v>0</v>
      </c>
      <c r="DA171" s="192">
        <f t="shared" si="108"/>
        <v>0</v>
      </c>
      <c r="DB171" s="192">
        <f>MAX(-CT171,MIN(0,ROUND($R171*EFBPercent+EFBAdd,2)-$Q171),MIN(0,SUM($CS171:CS171)+MIN(0,ROUND($R171*EFBPercent+EFBAdd,2)-$Q171)))</f>
        <v>0</v>
      </c>
      <c r="DC171" s="192">
        <f>IF(CU171&lt;0,0,MAX(-CU171,MIN(0,ROUND($R171*EFBPercent+EFBAdd,2)-$Q171),MIN(0,SUM($CS171:CT171)+MIN(0,ROUND($R171*EFBPercent+EFBAdd,2)-$Q171))))</f>
        <v>0</v>
      </c>
      <c r="DD171" s="192">
        <f>IF(CV171&lt;0,0,MAX(-CV171,MIN(0,ROUND($R171*EFBPercent+EFBAdd,2)-$Q171),MIN(0,SUM($CS171:CU171)+MIN(0,ROUND($R171*EFBPercent+EFBAdd,2)-$Q171))))</f>
        <v>0</v>
      </c>
      <c r="DE171" s="192">
        <f>IF(CW171&lt;0,0,MAX(-CW171,MIN(0,ROUND($R171*EFBPercent+EFBAdd,2)-$Q171),MIN(0,SUM($CS171:CV171)+MIN(0,ROUND($R171*EFBPercent+EFBAdd,2)-$Q171))))</f>
        <v>0</v>
      </c>
      <c r="DF171" s="192">
        <f>IF(CX171&lt;0,0,MAX(-CX171,MIN(0,ROUND($R171*EFBPercent+EFBAdd,2)-$Q171),MIN(0,SUM($CS171:CW171)+MIN(0,ROUND($R171*EFBPercent+EFBAdd,2)-$Q171))))</f>
        <v>0</v>
      </c>
      <c r="DG171" s="192">
        <f>MAX(-CY171,MIN(0,ROUND($R171*EFBPercent+EFBAdd,2)-$Q171),MIN(0,SUM($CS171:CX171)+MIN(0,ROUND($R171*EFBPercent+EFBAdd,2)-$Q171)))</f>
        <v>0</v>
      </c>
      <c r="DI171" s="73">
        <f t="shared" si="109"/>
        <v>0</v>
      </c>
      <c r="DJ171" s="73">
        <f t="shared" si="110"/>
        <v>0</v>
      </c>
      <c r="DK171" s="73">
        <f t="shared" si="111"/>
        <v>0</v>
      </c>
      <c r="DL171" s="73">
        <f t="shared" si="112"/>
        <v>5768.09</v>
      </c>
      <c r="DM171" s="73">
        <f t="shared" si="113"/>
        <v>0</v>
      </c>
      <c r="DN171" s="73">
        <f t="shared" si="114"/>
        <v>0</v>
      </c>
      <c r="DO171" s="73">
        <f t="shared" si="115"/>
        <v>0</v>
      </c>
      <c r="DP171" s="73"/>
      <c r="DQ171" s="73"/>
    </row>
    <row r="172" spans="1:121" ht="10.199999999999999" x14ac:dyDescent="0.2">
      <c r="A172" s="4" t="s">
        <v>631</v>
      </c>
      <c r="B172" s="188">
        <v>1041</v>
      </c>
      <c r="C172" s="189" t="s">
        <v>154</v>
      </c>
      <c r="D172" s="4">
        <v>2027</v>
      </c>
      <c r="E172" s="4" t="s">
        <v>467</v>
      </c>
      <c r="F172" s="4">
        <v>1</v>
      </c>
      <c r="G172" s="4" t="s">
        <v>682</v>
      </c>
      <c r="H172" s="4">
        <v>0</v>
      </c>
      <c r="I172" s="4" t="s">
        <v>854</v>
      </c>
      <c r="J172" s="5">
        <v>2093270.75</v>
      </c>
      <c r="K172" s="5">
        <v>133.51</v>
      </c>
      <c r="L172" s="5">
        <v>293.13</v>
      </c>
      <c r="M172" s="5">
        <v>0</v>
      </c>
      <c r="N172" s="5">
        <v>12268752</v>
      </c>
      <c r="O172" s="5">
        <v>0</v>
      </c>
      <c r="P172" s="5">
        <v>95</v>
      </c>
      <c r="Q172" s="5">
        <v>0</v>
      </c>
      <c r="R172" s="5">
        <v>0</v>
      </c>
      <c r="S172" s="5">
        <v>0</v>
      </c>
      <c r="T172" s="5">
        <v>0</v>
      </c>
      <c r="U172" s="5">
        <v>0</v>
      </c>
      <c r="V172" s="5">
        <v>13173.77</v>
      </c>
      <c r="W172" s="5">
        <v>500.08</v>
      </c>
      <c r="X172" s="5">
        <v>17563.150000000001</v>
      </c>
      <c r="Y172" s="5">
        <v>0.16</v>
      </c>
      <c r="Z172" s="5">
        <v>13</v>
      </c>
      <c r="AA172" s="5">
        <v>53</v>
      </c>
      <c r="AB172" s="5">
        <v>9</v>
      </c>
      <c r="AC172" s="5">
        <v>30</v>
      </c>
      <c r="AD172" s="5">
        <v>0</v>
      </c>
      <c r="AE172" s="5">
        <v>0</v>
      </c>
      <c r="AF172" s="5">
        <v>0</v>
      </c>
      <c r="AG172" s="5">
        <v>0</v>
      </c>
      <c r="AH172" s="5">
        <v>0.61499999999999999</v>
      </c>
      <c r="AI172" s="5">
        <v>0</v>
      </c>
      <c r="AJ172" s="5">
        <v>0</v>
      </c>
      <c r="AK172" s="5">
        <v>0</v>
      </c>
      <c r="AL172" s="5">
        <v>111</v>
      </c>
      <c r="AM172" s="5">
        <v>17.730000000000004</v>
      </c>
      <c r="AN172" s="5">
        <v>105</v>
      </c>
      <c r="AO172" s="5">
        <f t="shared" si="141"/>
        <v>6</v>
      </c>
      <c r="AP172" s="5">
        <f t="shared" ref="AP172:AP177" si="150">IF(AM172&gt;0,SUM(Z172:AD172)-AN172,0)</f>
        <v>0</v>
      </c>
      <c r="AQ172" s="5">
        <v>0</v>
      </c>
      <c r="AR172" s="5">
        <v>0</v>
      </c>
      <c r="AS172" s="5">
        <v>0</v>
      </c>
      <c r="AT172" s="5">
        <v>35350</v>
      </c>
      <c r="AU172" s="5">
        <v>0</v>
      </c>
      <c r="AV172" s="5">
        <v>1400</v>
      </c>
      <c r="AW172" s="199">
        <v>293.13</v>
      </c>
      <c r="AX172" s="199">
        <v>1</v>
      </c>
      <c r="AY172" s="199">
        <v>0</v>
      </c>
      <c r="AZ172" s="199">
        <v>0</v>
      </c>
      <c r="BA172" s="5">
        <v>160784.13</v>
      </c>
      <c r="BB172" s="13">
        <v>729491.04</v>
      </c>
      <c r="BC172" s="190">
        <f>MAX(ROUND(IF(F172&lt;4,IF(H172=0,(SUM(Y172:AD172)*Worksheet!$E$26+Y172*Worksheet!$E$27+AR172*Worksheet!$E$39)*-BaseRate,0)),2),MIN(0,-DI172))</f>
        <v>-107969.13</v>
      </c>
      <c r="BD172" s="190">
        <f>MAX(ROUND(IF(F172=4,0,IF(I172=0,0,ROUND(SUM(Y172:AD172)*Worksheet!$E$28,2)*-BaseRate)),2),MIN(0,-DI172-BC172))</f>
        <v>-2442.9299999999998</v>
      </c>
      <c r="BE172" s="130">
        <f t="shared" si="134"/>
        <v>2511</v>
      </c>
      <c r="BF172" s="130">
        <f t="shared" si="135"/>
        <v>1406</v>
      </c>
      <c r="BG172" s="73"/>
      <c r="BH172" s="191">
        <f t="shared" si="136"/>
        <v>60084.98</v>
      </c>
      <c r="BI172" s="191">
        <f t="shared" si="137"/>
        <v>15678.76</v>
      </c>
      <c r="BJ172" s="232">
        <f>IFERROR(ROUND(IF(AND(BB172*1.12&lt;N172*60/1000,N172/CL172&lt;STVPP*0.2),(CL172*STVPP*0.2*Worksheet!$F$88/1000-BB172*1.12)*PropTaxAdj,IF(BB172*1.12&lt;N172*60/1000,(N172*60/1000-BB172*1.12)*PropTaxAdj,0)),2),0)</f>
        <v>0</v>
      </c>
      <c r="BK172" s="192">
        <f>ROUND(IF($F172=4,0,Y172*Worksheet!$E$16),2)</f>
        <v>0.16</v>
      </c>
      <c r="BL172" s="192">
        <f>ROUND(IF($F172=4,0,Z172*Worksheet!$E$17),2)</f>
        <v>13</v>
      </c>
      <c r="BM172" s="192">
        <f>ROUND(IF($F172=4,0,AA172*Worksheet!$E$18),2)</f>
        <v>53</v>
      </c>
      <c r="BN172" s="192">
        <f>ROUND(IF($F172=4,0,AB172*Worksheet!$E$19),2)</f>
        <v>9</v>
      </c>
      <c r="BO172" s="192">
        <f>ROUND(IF($F172=4,0,AC172*Worksheet!$E$20),2)</f>
        <v>30</v>
      </c>
      <c r="BP172" s="192">
        <f>ROUND(AD172*Worksheet!$E$21,2)</f>
        <v>0</v>
      </c>
      <c r="BQ172" s="192">
        <f t="shared" si="105"/>
        <v>105.16</v>
      </c>
      <c r="BR172" s="192">
        <f>ROUND(AD172*Worksheet!$E$25,2)</f>
        <v>0</v>
      </c>
      <c r="BS172" s="192">
        <f>ROUND(SUM(BQ172)*Worksheet!$E$26,2)</f>
        <v>9.25</v>
      </c>
      <c r="BT172" s="192">
        <f>ROUND(Y172*Worksheet!$E$27,2)</f>
        <v>0.03</v>
      </c>
      <c r="BU172" s="192">
        <f>ROUND(AO172*Worksheet!$E$29,2)</f>
        <v>6</v>
      </c>
      <c r="BV172" s="192">
        <f>ROUND(AP172*Worksheet!$E$30,2)</f>
        <v>0</v>
      </c>
      <c r="BW172" s="192">
        <f>ROUND(IF($I172&lt;&gt;0,$BQ172*Worksheet!$E$28,0),2)</f>
        <v>0.21</v>
      </c>
      <c r="BX172" s="192">
        <f>ROUND(AE172*Worksheet!$E$31,2)</f>
        <v>0</v>
      </c>
      <c r="BY172" s="192">
        <f>ROUND(AF172*Worksheet!$E$32,2)</f>
        <v>0</v>
      </c>
      <c r="BZ172" s="192">
        <f>ROUND(AG172*Worksheet!$E$33,2)</f>
        <v>0</v>
      </c>
      <c r="CA172" s="192">
        <f>ROUND(ROUND(AH172*BQ172,2)*Worksheet!$E$34,2)</f>
        <v>1.62</v>
      </c>
      <c r="CB172" s="192">
        <f>ROUND(AI172*Worksheet!$E$35,2)</f>
        <v>0</v>
      </c>
      <c r="CC172" s="192">
        <f>ROUND(AJ172*Worksheet!$E$36,2)</f>
        <v>0</v>
      </c>
      <c r="CD172" s="192">
        <f>ROUND(AQ172*Worksheet!$E$38,2)</f>
        <v>0</v>
      </c>
      <c r="CE172" s="192">
        <f>ROUND(AR172*Worksheet!$E$39,2)</f>
        <v>0</v>
      </c>
      <c r="CF172" s="192">
        <f>IF(AND(L172&gt;275,SUM(Y172:AD172)&lt;100),ROUND(SUM(Y172:AD172)*Worksheet!$E$41,2),0)</f>
        <v>0</v>
      </c>
      <c r="CG172" s="192">
        <f>IF(AND(L172&gt;600,SUM(Y172:AD172)&lt;50),ROUND((50-SUM(Y172:AD172))*(Worksheet!$E$41+1),2),0)</f>
        <v>0</v>
      </c>
      <c r="CH172" s="192">
        <f t="shared" si="106"/>
        <v>122.27</v>
      </c>
      <c r="CI172" s="116">
        <f t="shared" si="142"/>
        <v>0</v>
      </c>
      <c r="CJ172" s="116">
        <f t="shared" si="143"/>
        <v>122.27</v>
      </c>
      <c r="CK172" s="95">
        <f t="shared" si="138"/>
        <v>1.67</v>
      </c>
      <c r="CL172" s="116">
        <f t="shared" si="144"/>
        <v>204.19</v>
      </c>
      <c r="CM172" s="116">
        <f t="shared" si="145"/>
        <v>204.19</v>
      </c>
      <c r="CN172" s="116">
        <f t="shared" si="139"/>
        <v>2375342.27</v>
      </c>
      <c r="CO172" s="131">
        <f>ROUND(IF(F172=4,0,(MAX(ROUND(MAX((BI172*MIN(CL172,K172)*Worksheet!$D$126)+MAX(CL172-K172,0)*Worksheet!$F$50,SUM(J172)),2),SUM(CN172))-SUM(CN172))*MinAdj),2)</f>
        <v>87302.23</v>
      </c>
      <c r="CP172" s="192">
        <f t="shared" si="140"/>
        <v>2462644.5</v>
      </c>
      <c r="CQ172" s="131">
        <f>IF(CL172=0,0,-MIN(CP172,MIN(CP172,ROUND(IF(ROUND(IF(CL172=0,0,N172/CL172),2)&lt;STVPP*0.2,STVPP*0.2*CL172*Worksheet!$F$88/1000,N172*Worksheet!$F$88/1000),2))))</f>
        <v>-736125.12</v>
      </c>
      <c r="CR172" s="193">
        <f>-MIN(SUM(CP172,CQ172),IF($P172=0,(ROUND(Worksheet!$E$77*S172,2)+ROUND(Worksheet!$E$78*T172,2)+ROUND(Worksheet!$E$79*U172,2)+ROUND(Worksheet!$E$80*V172,2)+ROUND(Worksheet!$E$81*W172,2)+ROUND(Worksheet!$E$82*X172,2)),(ROUND(ROUND(S172*ROUND((1-$O172/$P172),4),2)*Worksheet!$E$77,2)+ROUND(ROUND(T172*ROUND((1-$O172/$P172),4),2)*Worksheet!$E$78,2)+ROUND(ROUND(U172*ROUND((1-$O172/$P172),4),2)*Worksheet!$E$79,2)+ROUND(ROUND(V172*ROUND((1-$O172/$P172),4),2)*Worksheet!$E$80,2)+ROUND(ROUND(W172*ROUND((1-$O172/$P172),4),2)*Worksheet!$E$81,2)+ROUND(ROUND(X172*ROUND((1-$O172/$P172),4),2)*Worksheet!$E$82,2))))</f>
        <v>-23427.75</v>
      </c>
      <c r="CS172" s="192">
        <f t="shared" si="107"/>
        <v>1703091.63</v>
      </c>
      <c r="CT172" s="116">
        <f>ROUND(MIN(BA172,ROUND((ROUND(AS172*Worksheet!$E$104,2)+ROUND(AV172*Worksheet!$E$107,2)+ROUND(AT172*Worksheet!$E$105,2)+ROUND(AW172*Worksheet!$E$108,2)+ROUND(AU172*Worksheet!$E$106,2)+ROUND(AX172*Worksheet!$E$109,2)+ROUND(AY172*Worksheet!$E$110,2)+ROUND(AZ172*Worksheet!$E$111,2))*Worksheet!$D$114,2))*BaseRate,2)</f>
        <v>61887.56</v>
      </c>
      <c r="CU172" s="121">
        <v>0</v>
      </c>
      <c r="CV172" s="121">
        <v>0</v>
      </c>
      <c r="CW172" s="121">
        <v>0</v>
      </c>
      <c r="CX172" s="121">
        <v>0</v>
      </c>
      <c r="CY172" s="121">
        <v>0</v>
      </c>
      <c r="DA172" s="192">
        <f t="shared" si="108"/>
        <v>0</v>
      </c>
      <c r="DB172" s="192">
        <f>MAX(-CT172,MIN(0,ROUND($R172*EFBPercent+EFBAdd,2)-$Q172),MIN(0,SUM($CS172:CS172)+MIN(0,ROUND($R172*EFBPercent+EFBAdd,2)-$Q172)))</f>
        <v>0</v>
      </c>
      <c r="DC172" s="192">
        <f>IF(CU172&lt;0,0,MAX(-CU172,MIN(0,ROUND($R172*EFBPercent+EFBAdd,2)-$Q172),MIN(0,SUM($CS172:CT172)+MIN(0,ROUND($R172*EFBPercent+EFBAdd,2)-$Q172))))</f>
        <v>0</v>
      </c>
      <c r="DD172" s="192">
        <f>IF(CV172&lt;0,0,MAX(-CV172,MIN(0,ROUND($R172*EFBPercent+EFBAdd,2)-$Q172),MIN(0,SUM($CS172:CU172)+MIN(0,ROUND($R172*EFBPercent+EFBAdd,2)-$Q172))))</f>
        <v>0</v>
      </c>
      <c r="DE172" s="192">
        <f>IF(CW172&lt;0,0,MAX(-CW172,MIN(0,ROUND($R172*EFBPercent+EFBAdd,2)-$Q172),MIN(0,SUM($CS172:CV172)+MIN(0,ROUND($R172*EFBPercent+EFBAdd,2)-$Q172))))</f>
        <v>0</v>
      </c>
      <c r="DF172" s="192">
        <f>IF(CX172&lt;0,0,MAX(-CX172,MIN(0,ROUND($R172*EFBPercent+EFBAdd,2)-$Q172),MIN(0,SUM($CS172:CW172)+MIN(0,ROUND($R172*EFBPercent+EFBAdd,2)-$Q172))))</f>
        <v>0</v>
      </c>
      <c r="DG172" s="192">
        <f>MAX(-CY172,MIN(0,ROUND($R172*EFBPercent+EFBAdd,2)-$Q172),MIN(0,SUM($CS172:CX172)+MIN(0,ROUND($R172*EFBPercent+EFBAdd,2)-$Q172)))</f>
        <v>0</v>
      </c>
      <c r="DI172" s="73">
        <f t="shared" si="109"/>
        <v>1703091.63</v>
      </c>
      <c r="DJ172" s="73">
        <f t="shared" si="110"/>
        <v>61887.56</v>
      </c>
      <c r="DK172" s="73">
        <f t="shared" si="111"/>
        <v>0</v>
      </c>
      <c r="DL172" s="73">
        <f t="shared" si="112"/>
        <v>0</v>
      </c>
      <c r="DM172" s="73">
        <f t="shared" si="113"/>
        <v>0</v>
      </c>
      <c r="DN172" s="73">
        <f t="shared" si="114"/>
        <v>0</v>
      </c>
      <c r="DO172" s="73">
        <f t="shared" si="115"/>
        <v>0</v>
      </c>
      <c r="DP172" s="73"/>
      <c r="DQ172" s="73"/>
    </row>
    <row r="173" spans="1:121" ht="10.199999999999999" x14ac:dyDescent="0.2">
      <c r="A173" s="4" t="s">
        <v>632</v>
      </c>
      <c r="B173" s="72">
        <v>1069</v>
      </c>
      <c r="C173" s="13" t="s">
        <v>155</v>
      </c>
      <c r="D173" s="4">
        <v>2027</v>
      </c>
      <c r="E173" s="4" t="s">
        <v>468</v>
      </c>
      <c r="F173" s="4">
        <v>1</v>
      </c>
      <c r="G173" s="4" t="s">
        <v>841</v>
      </c>
      <c r="H173" s="4">
        <v>100</v>
      </c>
      <c r="I173" s="4" t="s">
        <v>853</v>
      </c>
      <c r="J173" s="5">
        <v>23115385.02</v>
      </c>
      <c r="K173" s="5">
        <v>2396.37</v>
      </c>
      <c r="L173" s="5">
        <v>472.45</v>
      </c>
      <c r="M173" s="5">
        <v>0</v>
      </c>
      <c r="N173" s="5">
        <v>98444342</v>
      </c>
      <c r="O173" s="5">
        <v>0</v>
      </c>
      <c r="P173" s="5">
        <v>102</v>
      </c>
      <c r="Q173" s="5">
        <v>0</v>
      </c>
      <c r="R173" s="5">
        <v>0</v>
      </c>
      <c r="S173" s="5">
        <v>25588.36</v>
      </c>
      <c r="T173" s="5">
        <v>11973.810000000001</v>
      </c>
      <c r="U173" s="5">
        <v>0</v>
      </c>
      <c r="V173" s="5">
        <v>19732.71</v>
      </c>
      <c r="W173" s="5">
        <v>37100.049999999996</v>
      </c>
      <c r="X173" s="5">
        <v>92204.54</v>
      </c>
      <c r="Y173" s="5">
        <v>7.3</v>
      </c>
      <c r="Z173" s="5">
        <v>109</v>
      </c>
      <c r="AA173" s="5">
        <v>805</v>
      </c>
      <c r="AB173" s="5">
        <v>324</v>
      </c>
      <c r="AC173" s="5">
        <v>632.42999999999995</v>
      </c>
      <c r="AD173" s="5">
        <v>54.57</v>
      </c>
      <c r="AE173" s="5">
        <v>9.5500000000000007</v>
      </c>
      <c r="AF173" s="5">
        <v>17.369999999999997</v>
      </c>
      <c r="AG173" s="5">
        <v>22.78</v>
      </c>
      <c r="AH173" s="5">
        <v>0.377</v>
      </c>
      <c r="AI173" s="5">
        <v>1.5</v>
      </c>
      <c r="AJ173" s="5">
        <v>0</v>
      </c>
      <c r="AK173" s="5">
        <v>0</v>
      </c>
      <c r="AL173" s="5">
        <v>1898.9</v>
      </c>
      <c r="AM173" s="5">
        <v>0</v>
      </c>
      <c r="AN173" s="5">
        <v>1925</v>
      </c>
      <c r="AO173" s="5">
        <f t="shared" si="141"/>
        <v>0</v>
      </c>
      <c r="AP173" s="5">
        <f t="shared" si="150"/>
        <v>0</v>
      </c>
      <c r="AQ173" s="5">
        <v>46.88</v>
      </c>
      <c r="AR173" s="5">
        <v>0.56000000000000005</v>
      </c>
      <c r="AS173" s="5">
        <v>0</v>
      </c>
      <c r="AT173" s="5">
        <v>147050</v>
      </c>
      <c r="AU173" s="5">
        <v>0</v>
      </c>
      <c r="AV173" s="5">
        <v>3114</v>
      </c>
      <c r="AW173" s="199">
        <v>472.45</v>
      </c>
      <c r="AX173" s="199">
        <v>7</v>
      </c>
      <c r="AY173" s="199">
        <v>0</v>
      </c>
      <c r="AZ173" s="199">
        <v>0</v>
      </c>
      <c r="BA173" s="5">
        <v>823128.61</v>
      </c>
      <c r="BB173" s="13">
        <v>5676472.9800000004</v>
      </c>
      <c r="BC173" s="101">
        <f>MAX(ROUND(IF(F173&lt;4,IF(H173=0,(SUM(Y173:AD173)*Worksheet!$E$26+Y173*Worksheet!$E$27+AR173*Worksheet!$E$39)*-BaseRate,0)),2),MIN(0,-DI173))</f>
        <v>0</v>
      </c>
      <c r="BD173" s="101">
        <f>MAX(ROUND(IF(F173=4,0,IF(I173=0,0,ROUND(SUM(Y173:AD173)*Worksheet!$E$28,2)*-BaseRate)),2),MIN(0,-DI173-BC173))</f>
        <v>-44903.38</v>
      </c>
      <c r="BE173" s="130">
        <f t="shared" si="134"/>
        <v>0</v>
      </c>
      <c r="BF173" s="130">
        <f t="shared" si="135"/>
        <v>1408</v>
      </c>
      <c r="BG173" s="73"/>
      <c r="BH173" s="118">
        <f t="shared" si="136"/>
        <v>45188.01</v>
      </c>
      <c r="BI173" s="118">
        <f t="shared" si="137"/>
        <v>9646</v>
      </c>
      <c r="BJ173" s="232">
        <f>IFERROR(ROUND(IF(AND(BB173*1.12&lt;N173*60/1000,N173/CL173&lt;STVPP*0.2),(CL173*STVPP*0.2*Worksheet!$F$88/1000-BB173*1.12)*PropTaxAdj,IF(BB173*1.12&lt;N173*60/1000,(N173*60/1000-BB173*1.12)*PropTaxAdj,0)),2),0)</f>
        <v>0</v>
      </c>
      <c r="BK173" s="116">
        <f>ROUND(IF($F173=4,0,Y173*Worksheet!$E$16),2)</f>
        <v>7.3</v>
      </c>
      <c r="BL173" s="116">
        <f>ROUND(IF($F173=4,0,Z173*Worksheet!$E$17),2)</f>
        <v>109</v>
      </c>
      <c r="BM173" s="116">
        <f>ROUND(IF($F173=4,0,AA173*Worksheet!$E$18),2)</f>
        <v>805</v>
      </c>
      <c r="BN173" s="116">
        <f>ROUND(IF($F173=4,0,AB173*Worksheet!$E$19),2)</f>
        <v>324</v>
      </c>
      <c r="BO173" s="116">
        <f>ROUND(IF($F173=4,0,AC173*Worksheet!$E$20),2)</f>
        <v>632.42999999999995</v>
      </c>
      <c r="BP173" s="116">
        <f>ROUND(AD173*Worksheet!$E$21,2)</f>
        <v>54.57</v>
      </c>
      <c r="BQ173" s="116">
        <f t="shared" si="105"/>
        <v>1932.3</v>
      </c>
      <c r="BR173" s="116">
        <f>ROUND(AD173*Worksheet!$E$25,2)</f>
        <v>13.64</v>
      </c>
      <c r="BS173" s="116">
        <f>ROUND(SUM(BQ173)*Worksheet!$E$26,2)</f>
        <v>170.04</v>
      </c>
      <c r="BT173" s="116">
        <f>ROUND(Y173*Worksheet!$E$27,2)</f>
        <v>1.24</v>
      </c>
      <c r="BU173" s="116">
        <f>ROUND(AO173*Worksheet!$E$29,2)</f>
        <v>0</v>
      </c>
      <c r="BV173" s="116">
        <f>ROUND(AP173*Worksheet!$E$30,2)</f>
        <v>0</v>
      </c>
      <c r="BW173" s="116">
        <f>ROUND(IF($I173&lt;&gt;0,$BQ173*Worksheet!$E$28,0),2)</f>
        <v>3.86</v>
      </c>
      <c r="BX173" s="116">
        <f>ROUND(AE173*Worksheet!$E$31,2)</f>
        <v>3.82</v>
      </c>
      <c r="BY173" s="116">
        <f>ROUND(AF173*Worksheet!$E$32,2)</f>
        <v>4.8600000000000003</v>
      </c>
      <c r="BZ173" s="116">
        <f>ROUND(AG173*Worksheet!$E$33,2)</f>
        <v>1.59</v>
      </c>
      <c r="CA173" s="116">
        <f>ROUND(ROUND(AH173*BQ173,2)*Worksheet!$E$34,2)</f>
        <v>18.21</v>
      </c>
      <c r="CB173" s="116">
        <f>ROUND(AI173*Worksheet!$E$35,2)</f>
        <v>0.3</v>
      </c>
      <c r="CC173" s="116">
        <f>ROUND(AJ173*Worksheet!$E$36,2)</f>
        <v>0</v>
      </c>
      <c r="CD173" s="116">
        <f>ROUND(AQ173*Worksheet!$E$38,2)</f>
        <v>28.13</v>
      </c>
      <c r="CE173" s="116">
        <f>ROUND(AR173*Worksheet!$E$39,2)</f>
        <v>0.56000000000000005</v>
      </c>
      <c r="CF173" s="116">
        <f>IF(AND(L173&gt;275,SUM(Y173:AD173)&lt;100),ROUND(SUM(Y173:AD173)*Worksheet!$E$41,2),0)</f>
        <v>0</v>
      </c>
      <c r="CG173" s="116">
        <f>IF(AND(L173&gt;600,SUM(Y173:AD173)&lt;50),ROUND((50-SUM(Y173:AD173))*(Worksheet!$E$41+1),2),0)</f>
        <v>0</v>
      </c>
      <c r="CH173" s="116">
        <f t="shared" si="106"/>
        <v>2178.5500000000006</v>
      </c>
      <c r="CI173" s="116">
        <f t="shared" si="142"/>
        <v>0</v>
      </c>
      <c r="CJ173" s="116">
        <f t="shared" si="143"/>
        <v>2178.5500000000006</v>
      </c>
      <c r="CK173" s="95">
        <f t="shared" si="138"/>
        <v>1</v>
      </c>
      <c r="CL173" s="116">
        <f t="shared" si="144"/>
        <v>2178.5500000000002</v>
      </c>
      <c r="CM173" s="116">
        <f t="shared" si="145"/>
        <v>2178.5500000000002</v>
      </c>
      <c r="CN173" s="116">
        <f t="shared" si="139"/>
        <v>25343072.149999999</v>
      </c>
      <c r="CO173" s="131">
        <f>ROUND(IF(F173=4,0,(MAX(ROUND(MAX((BI173*MIN(CL173,K173)*Worksheet!$D$126)+MAX(CL173-K173,0)*Worksheet!$F$50,SUM(J173)),2),SUM(CN173))-SUM(CN173))*MinAdj),2)</f>
        <v>0</v>
      </c>
      <c r="CP173" s="116">
        <f t="shared" si="140"/>
        <v>25343072.149999999</v>
      </c>
      <c r="CQ173" s="131">
        <f>IF(CL173=0,0,-MIN(CP173,MIN(CP173,ROUND(IF(ROUND(IF(CL173=0,0,N173/CL173),2)&lt;STVPP*0.2,STVPP*0.2*CL173*Worksheet!$F$88/1000,N173*Worksheet!$F$88/1000),2))))</f>
        <v>-5906660.5199999996</v>
      </c>
      <c r="CR173" s="131">
        <f>-MIN(SUM(CP173,CQ173),IF($P173=0,(ROUND(Worksheet!$E$77*S173,2)+ROUND(Worksheet!$E$78*T173,2)+ROUND(Worksheet!$E$79*U173,2)+ROUND(Worksheet!$E$80*V173,2)+ROUND(Worksheet!$E$81*W173,2)+ROUND(Worksheet!$E$82*X173,2)),(ROUND(ROUND(S173*ROUND((1-$O173/$P173),4),2)*Worksheet!$E$77,2)+ROUND(ROUND(T173*ROUND((1-$O173/$P173),4),2)*Worksheet!$E$78,2)+ROUND(ROUND(U173*ROUND((1-$O173/$P173),4),2)*Worksheet!$E$79,2)+ROUND(ROUND(V173*ROUND((1-$O173/$P173),4),2)*Worksheet!$E$80,2)+ROUND(ROUND(W173*ROUND((1-$O173/$P173),4),2)*Worksheet!$E$81,2)+ROUND(ROUND(X173*ROUND((1-$O173/$P173),4),2)*Worksheet!$E$82,2))))</f>
        <v>-139949.61000000002</v>
      </c>
      <c r="CS173" s="116">
        <f t="shared" si="107"/>
        <v>19296462.02</v>
      </c>
      <c r="CT173" s="116">
        <f>ROUND(MIN(BA173,ROUND((ROUND(AS173*Worksheet!$E$104,2)+ROUND(AV173*Worksheet!$E$107,2)+ROUND(AT173*Worksheet!$E$105,2)+ROUND(AW173*Worksheet!$E$108,2)+ROUND(AU173*Worksheet!$E$106,2)+ROUND(AX173*Worksheet!$E$109,2)+ROUND(AY173*Worksheet!$E$110,2)+ROUND(AZ173*Worksheet!$E$111,2))*Worksheet!$D$114,2))*BaseRate,2)</f>
        <v>224982.22</v>
      </c>
      <c r="CU173" s="121">
        <v>0</v>
      </c>
      <c r="CV173" s="121">
        <v>0</v>
      </c>
      <c r="CW173" s="121">
        <v>0</v>
      </c>
      <c r="CX173" s="121">
        <v>0</v>
      </c>
      <c r="CY173" s="121">
        <v>0</v>
      </c>
      <c r="DA173" s="116">
        <f t="shared" si="108"/>
        <v>0</v>
      </c>
      <c r="DB173" s="116">
        <f>MAX(-CT173,MIN(0,ROUND($R173*EFBPercent+EFBAdd,2)-$Q173),MIN(0,SUM($CS173:CS173)+MIN(0,ROUND($R173*EFBPercent+EFBAdd,2)-$Q173)))</f>
        <v>0</v>
      </c>
      <c r="DC173" s="192">
        <f>IF(CU173&lt;0,0,MAX(-CU173,MIN(0,ROUND($R173*EFBPercent+EFBAdd,2)-$Q173),MIN(0,SUM($CS173:CT173)+MIN(0,ROUND($R173*EFBPercent+EFBAdd,2)-$Q173))))</f>
        <v>0</v>
      </c>
      <c r="DD173" s="192">
        <f>IF(CV173&lt;0,0,MAX(-CV173,MIN(0,ROUND($R173*EFBPercent+EFBAdd,2)-$Q173),MIN(0,SUM($CS173:CU173)+MIN(0,ROUND($R173*EFBPercent+EFBAdd,2)-$Q173))))</f>
        <v>0</v>
      </c>
      <c r="DE173" s="192">
        <f>IF(CW173&lt;0,0,MAX(-CW173,MIN(0,ROUND($R173*EFBPercent+EFBAdd,2)-$Q173),MIN(0,SUM($CS173:CV173)+MIN(0,ROUND($R173*EFBPercent+EFBAdd,2)-$Q173))))</f>
        <v>0</v>
      </c>
      <c r="DF173" s="192">
        <f>IF(CX173&lt;0,0,MAX(-CX173,MIN(0,ROUND($R173*EFBPercent+EFBAdd,2)-$Q173),MIN(0,SUM($CS173:CW173)+MIN(0,ROUND($R173*EFBPercent+EFBAdd,2)-$Q173))))</f>
        <v>0</v>
      </c>
      <c r="DG173" s="116">
        <f>MAX(-CY173,MIN(0,ROUND($R173*EFBPercent+EFBAdd,2)-$Q173),MIN(0,SUM($CS173:CX173)+MIN(0,ROUND($R173*EFBPercent+EFBAdd,2)-$Q173)))</f>
        <v>0</v>
      </c>
      <c r="DI173" s="73">
        <f t="shared" si="109"/>
        <v>19296462.02</v>
      </c>
      <c r="DJ173" s="73">
        <f t="shared" si="110"/>
        <v>224982.22</v>
      </c>
      <c r="DK173" s="73">
        <f t="shared" si="111"/>
        <v>0</v>
      </c>
      <c r="DL173" s="73">
        <f t="shared" si="112"/>
        <v>0</v>
      </c>
      <c r="DM173" s="73">
        <f t="shared" si="113"/>
        <v>0</v>
      </c>
      <c r="DN173" s="73">
        <f t="shared" si="114"/>
        <v>0</v>
      </c>
      <c r="DO173" s="73">
        <f t="shared" si="115"/>
        <v>0</v>
      </c>
      <c r="DP173" s="73"/>
      <c r="DQ173" s="73"/>
    </row>
    <row r="174" spans="1:121" ht="10.199999999999999" x14ac:dyDescent="0.2">
      <c r="A174" s="4" t="s">
        <v>633</v>
      </c>
      <c r="B174" s="72">
        <v>1100</v>
      </c>
      <c r="C174" s="13" t="s">
        <v>156</v>
      </c>
      <c r="D174" s="4">
        <v>2027</v>
      </c>
      <c r="E174" s="4" t="s">
        <v>469</v>
      </c>
      <c r="F174" s="4">
        <v>1</v>
      </c>
      <c r="G174" s="4" t="s">
        <v>840</v>
      </c>
      <c r="H174" s="4">
        <v>0</v>
      </c>
      <c r="I174" s="4" t="s">
        <v>853</v>
      </c>
      <c r="J174" s="5">
        <v>2082767.2400000002</v>
      </c>
      <c r="K174" s="5">
        <v>215.41</v>
      </c>
      <c r="L174" s="5">
        <v>406.27</v>
      </c>
      <c r="M174" s="5">
        <v>0</v>
      </c>
      <c r="N174" s="5">
        <v>10611549</v>
      </c>
      <c r="O174" s="5">
        <v>22.42</v>
      </c>
      <c r="P174" s="5">
        <v>112.42</v>
      </c>
      <c r="Q174" s="5">
        <v>0</v>
      </c>
      <c r="R174" s="5">
        <v>0</v>
      </c>
      <c r="S174" s="5">
        <v>1800</v>
      </c>
      <c r="T174" s="5">
        <v>1051.3599999999999</v>
      </c>
      <c r="U174" s="5">
        <v>0</v>
      </c>
      <c r="V174" s="5">
        <v>11429.48</v>
      </c>
      <c r="W174" s="5">
        <v>5755.03</v>
      </c>
      <c r="X174" s="5">
        <v>11125.96</v>
      </c>
      <c r="Y174" s="5">
        <v>0.28999999999999998</v>
      </c>
      <c r="Z174" s="5">
        <v>10</v>
      </c>
      <c r="AA174" s="5">
        <v>93</v>
      </c>
      <c r="AB174" s="5">
        <v>36</v>
      </c>
      <c r="AC174" s="5">
        <v>60</v>
      </c>
      <c r="AD174" s="5">
        <v>0</v>
      </c>
      <c r="AE174" s="5">
        <v>0</v>
      </c>
      <c r="AF174" s="5">
        <v>0</v>
      </c>
      <c r="AG174" s="5">
        <v>0.94</v>
      </c>
      <c r="AH174" s="5">
        <v>0.43</v>
      </c>
      <c r="AI174" s="5">
        <v>0</v>
      </c>
      <c r="AJ174" s="5">
        <v>0</v>
      </c>
      <c r="AK174" s="5">
        <v>0</v>
      </c>
      <c r="AL174" s="5">
        <v>195.14000000000001</v>
      </c>
      <c r="AM174" s="5">
        <v>0</v>
      </c>
      <c r="AN174" s="5">
        <v>199</v>
      </c>
      <c r="AO174" s="5">
        <f t="shared" si="141"/>
        <v>0</v>
      </c>
      <c r="AP174" s="5">
        <f t="shared" si="150"/>
        <v>0</v>
      </c>
      <c r="AQ174" s="5">
        <v>1.5</v>
      </c>
      <c r="AR174" s="5">
        <v>0.01</v>
      </c>
      <c r="AS174" s="5">
        <v>0</v>
      </c>
      <c r="AT174" s="5">
        <v>130788</v>
      </c>
      <c r="AU174" s="5">
        <v>0</v>
      </c>
      <c r="AV174" s="5">
        <v>2422</v>
      </c>
      <c r="AW174" s="199">
        <v>406.27</v>
      </c>
      <c r="AX174" s="199">
        <v>1</v>
      </c>
      <c r="AY174" s="199">
        <v>0</v>
      </c>
      <c r="AZ174" s="199">
        <v>0</v>
      </c>
      <c r="BA174" s="5">
        <v>338893.51</v>
      </c>
      <c r="BB174" s="13">
        <v>623138.4</v>
      </c>
      <c r="BC174" s="101">
        <f>MAX(ROUND(IF(F174&lt;4,IF(H174=0,(SUM(Y174:AD174)*Worksheet!$E$26+Y174*Worksheet!$E$27+AR174*Worksheet!$E$39)*-BaseRate,0)),2),MIN(0,-DI174))</f>
        <v>-204703.81</v>
      </c>
      <c r="BD174" s="101">
        <f>MAX(ROUND(IF(F174=4,0,IF(I174=0,0,ROUND(SUM(Y174:AD174)*Worksheet!$E$28,2)*-BaseRate)),2),MIN(0,-DI174-BC174))</f>
        <v>-4653.2</v>
      </c>
      <c r="BE174" s="130">
        <f t="shared" si="134"/>
        <v>2512</v>
      </c>
      <c r="BF174" s="130">
        <f t="shared" si="135"/>
        <v>1408</v>
      </c>
      <c r="BG174" s="73"/>
      <c r="BH174" s="118">
        <f t="shared" si="136"/>
        <v>37322.559999999998</v>
      </c>
      <c r="BI174" s="118">
        <f t="shared" si="137"/>
        <v>9668.85</v>
      </c>
      <c r="BJ174" s="232">
        <f>IFERROR(ROUND(IF(AND(BB174*1.12&lt;N174*60/1000,N174/CL174&lt;STVPP*0.2),(CL174*STVPP*0.2*Worksheet!$F$88/1000-BB174*1.12)*PropTaxAdj,IF(BB174*1.12&lt;N174*60/1000,(N174*60/1000-BB174*1.12)*PropTaxAdj,0)),2),0)</f>
        <v>0</v>
      </c>
      <c r="BK174" s="116">
        <f>ROUND(IF($F174=4,0,Y174*Worksheet!$E$16),2)</f>
        <v>0.28999999999999998</v>
      </c>
      <c r="BL174" s="116">
        <f>ROUND(IF($F174=4,0,Z174*Worksheet!$E$17),2)</f>
        <v>10</v>
      </c>
      <c r="BM174" s="116">
        <f>ROUND(IF($F174=4,0,AA174*Worksheet!$E$18),2)</f>
        <v>93</v>
      </c>
      <c r="BN174" s="116">
        <f>ROUND(IF($F174=4,0,AB174*Worksheet!$E$19),2)</f>
        <v>36</v>
      </c>
      <c r="BO174" s="116">
        <f>ROUND(IF($F174=4,0,AC174*Worksheet!$E$20),2)</f>
        <v>60</v>
      </c>
      <c r="BP174" s="116">
        <f>ROUND(AD174*Worksheet!$E$21,2)</f>
        <v>0</v>
      </c>
      <c r="BQ174" s="116">
        <f t="shared" si="105"/>
        <v>199.29</v>
      </c>
      <c r="BR174" s="116">
        <f>ROUND(AD174*Worksheet!$E$25,2)</f>
        <v>0</v>
      </c>
      <c r="BS174" s="116">
        <f>ROUND(SUM(BQ174)*Worksheet!$E$26,2)</f>
        <v>17.54</v>
      </c>
      <c r="BT174" s="116">
        <f>ROUND(Y174*Worksheet!$E$27,2)</f>
        <v>0.05</v>
      </c>
      <c r="BU174" s="116">
        <f>ROUND(AO174*Worksheet!$E$29,2)</f>
        <v>0</v>
      </c>
      <c r="BV174" s="116">
        <f>ROUND(AP174*Worksheet!$E$30,2)</f>
        <v>0</v>
      </c>
      <c r="BW174" s="116">
        <f>ROUND(IF($I174&lt;&gt;0,$BQ174*Worksheet!$E$28,0),2)</f>
        <v>0.4</v>
      </c>
      <c r="BX174" s="116">
        <f>ROUND(AE174*Worksheet!$E$31,2)</f>
        <v>0</v>
      </c>
      <c r="BY174" s="116">
        <f>ROUND(AF174*Worksheet!$E$32,2)</f>
        <v>0</v>
      </c>
      <c r="BZ174" s="116">
        <f>ROUND(AG174*Worksheet!$E$33,2)</f>
        <v>7.0000000000000007E-2</v>
      </c>
      <c r="CA174" s="116">
        <f>ROUND(ROUND(AH174*BQ174,2)*Worksheet!$E$34,2)</f>
        <v>2.14</v>
      </c>
      <c r="CB174" s="116">
        <f>ROUND(AI174*Worksheet!$E$35,2)</f>
        <v>0</v>
      </c>
      <c r="CC174" s="116">
        <f>ROUND(AJ174*Worksheet!$E$36,2)</f>
        <v>0</v>
      </c>
      <c r="CD174" s="116">
        <f>ROUND(AQ174*Worksheet!$E$38,2)</f>
        <v>0.9</v>
      </c>
      <c r="CE174" s="116">
        <f>ROUND(AR174*Worksheet!$E$39,2)</f>
        <v>0.01</v>
      </c>
      <c r="CF174" s="116">
        <f>IF(AND(L174&gt;275,SUM(Y174:AD174)&lt;100),ROUND(SUM(Y174:AD174)*Worksheet!$E$41,2),0)</f>
        <v>0</v>
      </c>
      <c r="CG174" s="116">
        <f>IF(AND(L174&gt;600,SUM(Y174:AD174)&lt;50),ROUND((50-SUM(Y174:AD174))*(Worksheet!$E$41+1),2),0)</f>
        <v>0</v>
      </c>
      <c r="CH174" s="116">
        <f t="shared" si="106"/>
        <v>220.39999999999998</v>
      </c>
      <c r="CI174" s="116">
        <f t="shared" si="142"/>
        <v>0</v>
      </c>
      <c r="CJ174" s="116">
        <f t="shared" si="143"/>
        <v>220.39999999999998</v>
      </c>
      <c r="CK174" s="95">
        <f t="shared" si="138"/>
        <v>1.29</v>
      </c>
      <c r="CL174" s="116">
        <f t="shared" si="144"/>
        <v>284.32</v>
      </c>
      <c r="CM174" s="116">
        <f t="shared" si="145"/>
        <v>284.32</v>
      </c>
      <c r="CN174" s="116">
        <f t="shared" si="139"/>
        <v>3307494.56</v>
      </c>
      <c r="CO174" s="131">
        <f>ROUND(IF(F174=4,0,(MAX(ROUND(MAX((BI174*MIN(CL174,K174)*Worksheet!$D$126)+MAX(CL174-K174,0)*Worksheet!$F$50,SUM(J174)),2),SUM(CN174))-SUM(CN174))*MinAdj),2)</f>
        <v>0</v>
      </c>
      <c r="CP174" s="116">
        <f t="shared" si="140"/>
        <v>3307494.56</v>
      </c>
      <c r="CQ174" s="131">
        <f>IF(CL174=0,0,-MIN(CP174,MIN(CP174,ROUND(IF(ROUND(IF(CL174=0,0,N174/CL174),2)&lt;STVPP*0.2,STVPP*0.2*CL174*Worksheet!$F$88/1000,N174*Worksheet!$F$88/1000),2))))</f>
        <v>-636692.93999999994</v>
      </c>
      <c r="CR174" s="131">
        <f>-MIN(SUM(CP174,CQ174),IF($P174=0,(ROUND(Worksheet!$E$77*S174,2)+ROUND(Worksheet!$E$78*T174,2)+ROUND(Worksheet!$E$79*U174,2)+ROUND(Worksheet!$E$80*V174,2)+ROUND(Worksheet!$E$81*W174,2)+ROUND(Worksheet!$E$82*X174,2)),(ROUND(ROUND(S174*ROUND((1-$O174/$P174),4),2)*Worksheet!$E$77,2)+ROUND(ROUND(T174*ROUND((1-$O174/$P174),4),2)*Worksheet!$E$78,2)+ROUND(ROUND(U174*ROUND((1-$O174/$P174),4),2)*Worksheet!$E$79,2)+ROUND(ROUND(V174*ROUND((1-$O174/$P174),4),2)*Worksheet!$E$80,2)+ROUND(ROUND(W174*ROUND((1-$O174/$P174),4),2)*Worksheet!$E$81,2)+ROUND(ROUND(X174*ROUND((1-$O174/$P174),4),2)*Worksheet!$E$82,2))))</f>
        <v>-18711.120000000003</v>
      </c>
      <c r="CS174" s="116">
        <f t="shared" si="107"/>
        <v>2652090.5</v>
      </c>
      <c r="CT174" s="116">
        <f>ROUND(MIN(BA174,ROUND((ROUND(AS174*Worksheet!$E$104,2)+ROUND(AV174*Worksheet!$E$107,2)+ROUND(AT174*Worksheet!$E$105,2)+ROUND(AW174*Worksheet!$E$108,2)+ROUND(AU174*Worksheet!$E$106,2)+ROUND(AX174*Worksheet!$E$109,2)+ROUND(AY174*Worksheet!$E$110,2)+ROUND(AZ174*Worksheet!$E$111,2))*Worksheet!$D$114,2))*BaseRate,2)</f>
        <v>185197.36</v>
      </c>
      <c r="CU174" s="121">
        <v>0</v>
      </c>
      <c r="CV174" s="121">
        <v>0</v>
      </c>
      <c r="CW174" s="121">
        <v>0</v>
      </c>
      <c r="CX174" s="121">
        <v>0</v>
      </c>
      <c r="CY174" s="121">
        <v>0</v>
      </c>
      <c r="DA174" s="116">
        <f t="shared" si="108"/>
        <v>0</v>
      </c>
      <c r="DB174" s="116">
        <f>MAX(-CT174,MIN(0,ROUND($R174*EFBPercent+EFBAdd,2)-$Q174),MIN(0,SUM($CS174:CS174)+MIN(0,ROUND($R174*EFBPercent+EFBAdd,2)-$Q174)))</f>
        <v>0</v>
      </c>
      <c r="DC174" s="192">
        <f>IF(CU174&lt;0,0,MAX(-CU174,MIN(0,ROUND($R174*EFBPercent+EFBAdd,2)-$Q174),MIN(0,SUM($CS174:CT174)+MIN(0,ROUND($R174*EFBPercent+EFBAdd,2)-$Q174))))</f>
        <v>0</v>
      </c>
      <c r="DD174" s="192">
        <f>IF(CV174&lt;0,0,MAX(-CV174,MIN(0,ROUND($R174*EFBPercent+EFBAdd,2)-$Q174),MIN(0,SUM($CS174:CU174)+MIN(0,ROUND($R174*EFBPercent+EFBAdd,2)-$Q174))))</f>
        <v>0</v>
      </c>
      <c r="DE174" s="192">
        <f>IF(CW174&lt;0,0,MAX(-CW174,MIN(0,ROUND($R174*EFBPercent+EFBAdd,2)-$Q174),MIN(0,SUM($CS174:CV174)+MIN(0,ROUND($R174*EFBPercent+EFBAdd,2)-$Q174))))</f>
        <v>0</v>
      </c>
      <c r="DF174" s="192">
        <f>IF(CX174&lt;0,0,MAX(-CX174,MIN(0,ROUND($R174*EFBPercent+EFBAdd,2)-$Q174),MIN(0,SUM($CS174:CW174)+MIN(0,ROUND($R174*EFBPercent+EFBAdd,2)-$Q174))))</f>
        <v>0</v>
      </c>
      <c r="DG174" s="116">
        <f>MAX(-CY174,MIN(0,ROUND($R174*EFBPercent+EFBAdd,2)-$Q174),MIN(0,SUM($CS174:CX174)+MIN(0,ROUND($R174*EFBPercent+EFBAdd,2)-$Q174)))</f>
        <v>0</v>
      </c>
      <c r="DI174" s="73">
        <f t="shared" si="109"/>
        <v>2652090.5</v>
      </c>
      <c r="DJ174" s="73">
        <f t="shared" si="110"/>
        <v>185197.36</v>
      </c>
      <c r="DK174" s="73">
        <f t="shared" si="111"/>
        <v>0</v>
      </c>
      <c r="DL174" s="73">
        <f t="shared" si="112"/>
        <v>0</v>
      </c>
      <c r="DM174" s="73">
        <f t="shared" si="113"/>
        <v>0</v>
      </c>
      <c r="DN174" s="73">
        <f t="shared" si="114"/>
        <v>0</v>
      </c>
      <c r="DO174" s="73">
        <f t="shared" si="115"/>
        <v>0</v>
      </c>
      <c r="DP174" s="73"/>
      <c r="DQ174" s="73"/>
    </row>
    <row r="175" spans="1:121" ht="10.199999999999999" x14ac:dyDescent="0.2">
      <c r="A175" s="4" t="s">
        <v>634</v>
      </c>
      <c r="B175" s="72">
        <v>1133</v>
      </c>
      <c r="C175" s="13" t="s">
        <v>1120</v>
      </c>
      <c r="D175" s="4">
        <v>2027</v>
      </c>
      <c r="E175" s="4" t="s">
        <v>958</v>
      </c>
      <c r="F175" s="4">
        <v>1</v>
      </c>
      <c r="G175" s="4" t="s">
        <v>666</v>
      </c>
      <c r="H175" s="4">
        <v>100</v>
      </c>
      <c r="I175" s="4" t="s">
        <v>849</v>
      </c>
      <c r="J175" s="5">
        <v>1952157.49</v>
      </c>
      <c r="K175" s="5">
        <v>202.38</v>
      </c>
      <c r="L175" s="5">
        <v>335</v>
      </c>
      <c r="M175" s="5">
        <v>0</v>
      </c>
      <c r="N175" s="5">
        <v>10345692</v>
      </c>
      <c r="O175" s="5">
        <v>0</v>
      </c>
      <c r="P175" s="5">
        <v>92</v>
      </c>
      <c r="Q175" s="5">
        <v>0</v>
      </c>
      <c r="R175" s="5">
        <v>0</v>
      </c>
      <c r="S175" s="5">
        <v>60931.01</v>
      </c>
      <c r="T175" s="5">
        <v>866.19999999999982</v>
      </c>
      <c r="U175" s="5">
        <v>0</v>
      </c>
      <c r="V175" s="5">
        <v>8742.57</v>
      </c>
      <c r="W175" s="5">
        <v>637.64</v>
      </c>
      <c r="X175" s="5">
        <v>14347.75</v>
      </c>
      <c r="Y175" s="5">
        <v>0.05</v>
      </c>
      <c r="Z175" s="5">
        <v>8</v>
      </c>
      <c r="AA175" s="5">
        <v>79</v>
      </c>
      <c r="AB175" s="5">
        <v>21</v>
      </c>
      <c r="AC175" s="5">
        <v>43</v>
      </c>
      <c r="AD175" s="5">
        <v>0</v>
      </c>
      <c r="AE175" s="5">
        <v>0</v>
      </c>
      <c r="AF175" s="5">
        <v>0</v>
      </c>
      <c r="AG175" s="5">
        <v>0</v>
      </c>
      <c r="AH175" s="5">
        <v>0.377</v>
      </c>
      <c r="AI175" s="5">
        <v>0.51</v>
      </c>
      <c r="AJ175" s="5">
        <v>0</v>
      </c>
      <c r="AK175" s="5">
        <v>0</v>
      </c>
      <c r="AL175" s="5">
        <v>147.26999999999998</v>
      </c>
      <c r="AM175" s="5">
        <v>9.8400000000000034</v>
      </c>
      <c r="AN175" s="5">
        <v>151</v>
      </c>
      <c r="AO175" s="5">
        <f t="shared" si="141"/>
        <v>0</v>
      </c>
      <c r="AP175" s="5">
        <f t="shared" si="150"/>
        <v>0</v>
      </c>
      <c r="AQ175" s="5">
        <v>0</v>
      </c>
      <c r="AR175" s="5">
        <v>0</v>
      </c>
      <c r="AS175" s="5">
        <v>11550</v>
      </c>
      <c r="AT175" s="5">
        <v>76650</v>
      </c>
      <c r="AU175" s="5">
        <v>350</v>
      </c>
      <c r="AV175" s="5">
        <v>2100</v>
      </c>
      <c r="AW175" s="199">
        <v>335</v>
      </c>
      <c r="AX175" s="199">
        <v>2</v>
      </c>
      <c r="AY175" s="199">
        <v>0</v>
      </c>
      <c r="AZ175" s="199">
        <v>0</v>
      </c>
      <c r="BA175" s="5">
        <v>219194.91</v>
      </c>
      <c r="BB175" s="13">
        <v>607922.69999999995</v>
      </c>
      <c r="BC175" s="101">
        <f>MAX(ROUND(IF(F175&lt;4,IF(H175=0,(SUM(Y175:AD175)*Worksheet!$E$26+Y175*Worksheet!$E$27+AR175*Worksheet!$E$39)*-BaseRate,0)),2),MIN(0,-DI175))</f>
        <v>0</v>
      </c>
      <c r="BD175" s="101">
        <f>MAX(ROUND(IF(F175=4,0,IF(I175=0,0,ROUND(SUM(Y175:AD175)*Worksheet!$E$28,2)*-BaseRate)),2),MIN(0,-DI175-BC175))</f>
        <v>-3489.9</v>
      </c>
      <c r="BE175" s="130">
        <f t="shared" si="134"/>
        <v>0</v>
      </c>
      <c r="BF175" s="130">
        <f t="shared" si="135"/>
        <v>1405</v>
      </c>
      <c r="BG175" s="73"/>
      <c r="BH175" s="118">
        <f t="shared" si="136"/>
        <v>42944.22</v>
      </c>
      <c r="BI175" s="118">
        <f t="shared" si="137"/>
        <v>9646</v>
      </c>
      <c r="BJ175" s="232">
        <f>IFERROR(ROUND(IF(AND(BB175*1.12&lt;N175*60/1000,N175/CL175&lt;STVPP*0.2),(CL175*STVPP*0.2*Worksheet!$F$88/1000-BB175*1.12)*PropTaxAdj,IF(BB175*1.12&lt;N175*60/1000,(N175*60/1000-BB175*1.12)*PropTaxAdj,0)),2),0)</f>
        <v>0</v>
      </c>
      <c r="BK175" s="116">
        <f>ROUND(IF($F175=4,0,Y175*Worksheet!$E$16),2)</f>
        <v>0.05</v>
      </c>
      <c r="BL175" s="116">
        <f>ROUND(IF($F175=4,0,Z175*Worksheet!$E$17),2)</f>
        <v>8</v>
      </c>
      <c r="BM175" s="116">
        <f>ROUND(IF($F175=4,0,AA175*Worksheet!$E$18),2)</f>
        <v>79</v>
      </c>
      <c r="BN175" s="116">
        <f>ROUND(IF($F175=4,0,AB175*Worksheet!$E$19),2)</f>
        <v>21</v>
      </c>
      <c r="BO175" s="116">
        <f>ROUND(IF($F175=4,0,AC175*Worksheet!$E$20),2)</f>
        <v>43</v>
      </c>
      <c r="BP175" s="116">
        <f>ROUND(AD175*Worksheet!$E$21,2)</f>
        <v>0</v>
      </c>
      <c r="BQ175" s="116">
        <f t="shared" si="105"/>
        <v>151.05000000000001</v>
      </c>
      <c r="BR175" s="116">
        <f>ROUND(AD175*Worksheet!$E$25,2)</f>
        <v>0</v>
      </c>
      <c r="BS175" s="116">
        <f>ROUND(SUM(BQ175)*Worksheet!$E$26,2)</f>
        <v>13.29</v>
      </c>
      <c r="BT175" s="116">
        <f>ROUND(Y175*Worksheet!$E$27,2)</f>
        <v>0.01</v>
      </c>
      <c r="BU175" s="116">
        <f>ROUND(AO175*Worksheet!$E$29,2)</f>
        <v>0</v>
      </c>
      <c r="BV175" s="116">
        <f>ROUND(AP175*Worksheet!$E$30,2)</f>
        <v>0</v>
      </c>
      <c r="BW175" s="116">
        <f>ROUND(IF($I175&lt;&gt;0,$BQ175*Worksheet!$E$28,0),2)</f>
        <v>0.3</v>
      </c>
      <c r="BX175" s="116">
        <f>ROUND(AE175*Worksheet!$E$31,2)</f>
        <v>0</v>
      </c>
      <c r="BY175" s="116">
        <f>ROUND(AF175*Worksheet!$E$32,2)</f>
        <v>0</v>
      </c>
      <c r="BZ175" s="116">
        <f>ROUND(AG175*Worksheet!$E$33,2)</f>
        <v>0</v>
      </c>
      <c r="CA175" s="116">
        <f>ROUND(ROUND(AH175*BQ175,2)*Worksheet!$E$34,2)</f>
        <v>1.42</v>
      </c>
      <c r="CB175" s="116">
        <f>ROUND(AI175*Worksheet!$E$35,2)</f>
        <v>0.1</v>
      </c>
      <c r="CC175" s="116">
        <f>ROUND(AJ175*Worksheet!$E$36,2)</f>
        <v>0</v>
      </c>
      <c r="CD175" s="116">
        <f>ROUND(AQ175*Worksheet!$E$38,2)</f>
        <v>0</v>
      </c>
      <c r="CE175" s="116">
        <f>ROUND(AR175*Worksheet!$E$39,2)</f>
        <v>0</v>
      </c>
      <c r="CF175" s="116">
        <f>IF(AND(L175&gt;275,SUM(Y175:AD175)&lt;100),ROUND(SUM(Y175:AD175)*Worksheet!$E$41,2),0)</f>
        <v>0</v>
      </c>
      <c r="CG175" s="116">
        <f>IF(AND(L175&gt;600,SUM(Y175:AD175)&lt;50),ROUND((50-SUM(Y175:AD175))*(Worksheet!$E$41+1),2),0)</f>
        <v>0</v>
      </c>
      <c r="CH175" s="116">
        <f t="shared" si="106"/>
        <v>166.17</v>
      </c>
      <c r="CI175" s="116">
        <f t="shared" si="142"/>
        <v>0</v>
      </c>
      <c r="CJ175" s="116">
        <f t="shared" si="143"/>
        <v>166.17</v>
      </c>
      <c r="CK175" s="95">
        <f t="shared" si="138"/>
        <v>1.4498</v>
      </c>
      <c r="CL175" s="116">
        <f t="shared" si="144"/>
        <v>240.91</v>
      </c>
      <c r="CM175" s="116">
        <f t="shared" si="145"/>
        <v>240.91</v>
      </c>
      <c r="CN175" s="116">
        <f t="shared" si="139"/>
        <v>2802506.03</v>
      </c>
      <c r="CO175" s="131">
        <f>ROUND(IF(F175=4,0,(MAX(ROUND(MAX((BI175*MIN(CL175,K175)*Worksheet!$D$126)+MAX(CL175-K175,0)*Worksheet!$F$50,SUM(J175)),2),SUM(CN175))-SUM(CN175))*MinAdj),2)</f>
        <v>0</v>
      </c>
      <c r="CP175" s="116">
        <f t="shared" si="140"/>
        <v>2802506.03</v>
      </c>
      <c r="CQ175" s="131">
        <f>IF(CL175=0,0,-MIN(CP175,MIN(CP175,ROUND(IF(ROUND(IF(CL175=0,0,N175/CL175),2)&lt;STVPP*0.2,STVPP*0.2*CL175*Worksheet!$F$88/1000,N175*Worksheet!$F$88/1000),2))))</f>
        <v>-620741.52</v>
      </c>
      <c r="CR175" s="131">
        <f>-MIN(SUM(CP175,CQ175),IF($P175=0,(ROUND(Worksheet!$E$77*S175,2)+ROUND(Worksheet!$E$78*T175,2)+ROUND(Worksheet!$E$79*U175,2)+ROUND(Worksheet!$E$80*V175,2)+ROUND(Worksheet!$E$81*W175,2)+ROUND(Worksheet!$E$82*X175,2)),(ROUND(ROUND(S175*ROUND((1-$O175/$P175),4),2)*Worksheet!$E$77,2)+ROUND(ROUND(T175*ROUND((1-$O175/$P175),4),2)*Worksheet!$E$78,2)+ROUND(ROUND(U175*ROUND((1-$O175/$P175),4),2)*Worksheet!$E$79,2)+ROUND(ROUND(V175*ROUND((1-$O175/$P175),4),2)*Worksheet!$E$80,2)+ROUND(ROUND(W175*ROUND((1-$O175/$P175),4),2)*Worksheet!$E$81,2)+ROUND(ROUND(X175*ROUND((1-$O175/$P175),4),2)*Worksheet!$E$82,2))))</f>
        <v>-64143.880000000005</v>
      </c>
      <c r="CS175" s="116">
        <f t="shared" si="107"/>
        <v>2117620.63</v>
      </c>
      <c r="CT175" s="116">
        <f>ROUND(MIN(BA175,ROUND((ROUND(AS175*Worksheet!$E$104,2)+ROUND(AV175*Worksheet!$E$107,2)+ROUND(AT175*Worksheet!$E$105,2)+ROUND(AW175*Worksheet!$E$108,2)+ROUND(AU175*Worksheet!$E$106,2)+ROUND(AX175*Worksheet!$E$109,2)+ROUND(AY175*Worksheet!$E$110,2)+ROUND(AZ175*Worksheet!$E$111,2))*Worksheet!$D$114,2))*BaseRate,2)</f>
        <v>128079.33</v>
      </c>
      <c r="CU175" s="121">
        <v>0</v>
      </c>
      <c r="CV175" s="121">
        <v>0</v>
      </c>
      <c r="CW175" s="121">
        <v>0</v>
      </c>
      <c r="CX175" s="121">
        <v>0</v>
      </c>
      <c r="CY175" s="121">
        <v>0</v>
      </c>
      <c r="DA175" s="116">
        <f t="shared" si="108"/>
        <v>0</v>
      </c>
      <c r="DB175" s="116">
        <f>MAX(-CT175,MIN(0,ROUND($R175*EFBPercent+EFBAdd,2)-$Q175),MIN(0,SUM($CS175:CS175)+MIN(0,ROUND($R175*EFBPercent+EFBAdd,2)-$Q175)))</f>
        <v>0</v>
      </c>
      <c r="DC175" s="192">
        <f>IF(CU175&lt;0,0,MAX(-CU175,MIN(0,ROUND($R175*EFBPercent+EFBAdd,2)-$Q175),MIN(0,SUM($CS175:CT175)+MIN(0,ROUND($R175*EFBPercent+EFBAdd,2)-$Q175))))</f>
        <v>0</v>
      </c>
      <c r="DD175" s="192">
        <f>IF(CV175&lt;0,0,MAX(-CV175,MIN(0,ROUND($R175*EFBPercent+EFBAdd,2)-$Q175),MIN(0,SUM($CS175:CU175)+MIN(0,ROUND($R175*EFBPercent+EFBAdd,2)-$Q175))))</f>
        <v>0</v>
      </c>
      <c r="DE175" s="192">
        <f>IF(CW175&lt;0,0,MAX(-CW175,MIN(0,ROUND($R175*EFBPercent+EFBAdd,2)-$Q175),MIN(0,SUM($CS175:CV175)+MIN(0,ROUND($R175*EFBPercent+EFBAdd,2)-$Q175))))</f>
        <v>0</v>
      </c>
      <c r="DF175" s="192">
        <f>IF(CX175&lt;0,0,MAX(-CX175,MIN(0,ROUND($R175*EFBPercent+EFBAdd,2)-$Q175),MIN(0,SUM($CS175:CW175)+MIN(0,ROUND($R175*EFBPercent+EFBAdd,2)-$Q175))))</f>
        <v>0</v>
      </c>
      <c r="DG175" s="116">
        <f>MAX(-CY175,MIN(0,ROUND($R175*EFBPercent+EFBAdd,2)-$Q175),MIN(0,SUM($CS175:CX175)+MIN(0,ROUND($R175*EFBPercent+EFBAdd,2)-$Q175)))</f>
        <v>0</v>
      </c>
      <c r="DI175" s="73">
        <f t="shared" si="109"/>
        <v>2117620.63</v>
      </c>
      <c r="DJ175" s="73">
        <f t="shared" si="110"/>
        <v>128079.33</v>
      </c>
      <c r="DK175" s="73">
        <f t="shared" si="111"/>
        <v>0</v>
      </c>
      <c r="DL175" s="73">
        <f t="shared" si="112"/>
        <v>0</v>
      </c>
      <c r="DM175" s="73">
        <f t="shared" si="113"/>
        <v>0</v>
      </c>
      <c r="DN175" s="73">
        <f t="shared" si="114"/>
        <v>0</v>
      </c>
      <c r="DO175" s="73">
        <f t="shared" si="115"/>
        <v>0</v>
      </c>
      <c r="DP175" s="73"/>
      <c r="DQ175" s="73"/>
    </row>
    <row r="176" spans="1:121" ht="10.199999999999999" x14ac:dyDescent="0.2">
      <c r="A176" s="4" t="s">
        <v>635</v>
      </c>
      <c r="B176" s="72">
        <v>1109</v>
      </c>
      <c r="C176" s="5" t="s">
        <v>157</v>
      </c>
      <c r="D176" s="4">
        <v>2027</v>
      </c>
      <c r="E176" s="4" t="s">
        <v>470</v>
      </c>
      <c r="F176" s="4">
        <v>1</v>
      </c>
      <c r="G176" s="4" t="s">
        <v>840</v>
      </c>
      <c r="H176" s="4">
        <v>0</v>
      </c>
      <c r="I176" s="4" t="s">
        <v>853</v>
      </c>
      <c r="J176" s="5">
        <v>1691136.7199999997</v>
      </c>
      <c r="K176" s="5">
        <v>175.32</v>
      </c>
      <c r="L176" s="5">
        <v>217</v>
      </c>
      <c r="M176" s="5">
        <v>0</v>
      </c>
      <c r="N176" s="5">
        <v>7936223</v>
      </c>
      <c r="O176" s="5">
        <v>0</v>
      </c>
      <c r="P176" s="5">
        <v>79.77000000000001</v>
      </c>
      <c r="Q176" s="5">
        <v>0</v>
      </c>
      <c r="R176" s="5">
        <v>0</v>
      </c>
      <c r="S176" s="5">
        <v>0</v>
      </c>
      <c r="T176" s="5">
        <v>490.85999999999996</v>
      </c>
      <c r="U176" s="5">
        <v>0</v>
      </c>
      <c r="V176" s="5">
        <v>8513.84</v>
      </c>
      <c r="W176" s="5">
        <v>162.88999999999999</v>
      </c>
      <c r="X176" s="5">
        <v>2720.9399999999996</v>
      </c>
      <c r="Y176" s="5">
        <v>0.16</v>
      </c>
      <c r="Z176" s="5">
        <v>12</v>
      </c>
      <c r="AA176" s="5">
        <v>42</v>
      </c>
      <c r="AB176" s="5">
        <v>12</v>
      </c>
      <c r="AC176" s="5">
        <v>30</v>
      </c>
      <c r="AD176" s="5">
        <v>0</v>
      </c>
      <c r="AE176" s="5">
        <v>0</v>
      </c>
      <c r="AF176" s="5">
        <v>0</v>
      </c>
      <c r="AG176" s="5">
        <v>0</v>
      </c>
      <c r="AH176" s="5">
        <v>0.51100000000000001</v>
      </c>
      <c r="AI176" s="5">
        <v>3.09</v>
      </c>
      <c r="AJ176" s="5">
        <v>0</v>
      </c>
      <c r="AK176" s="5">
        <v>0</v>
      </c>
      <c r="AL176" s="5">
        <v>94.32</v>
      </c>
      <c r="AM176" s="5">
        <v>9.1099999999999852</v>
      </c>
      <c r="AN176" s="5">
        <v>96</v>
      </c>
      <c r="AO176" s="5">
        <f t="shared" si="141"/>
        <v>0</v>
      </c>
      <c r="AP176" s="5">
        <f t="shared" si="150"/>
        <v>0</v>
      </c>
      <c r="AQ176" s="5">
        <v>0.44</v>
      </c>
      <c r="AR176" s="5">
        <v>0</v>
      </c>
      <c r="AS176" s="5">
        <v>0</v>
      </c>
      <c r="AT176" s="5">
        <v>46170</v>
      </c>
      <c r="AU176" s="5">
        <v>0</v>
      </c>
      <c r="AV176" s="5">
        <v>1710</v>
      </c>
      <c r="AW176" s="199">
        <v>217</v>
      </c>
      <c r="AX176" s="199">
        <v>1</v>
      </c>
      <c r="AY176" s="199">
        <v>0</v>
      </c>
      <c r="AZ176" s="199">
        <v>0</v>
      </c>
      <c r="BA176" s="5">
        <v>256064.85</v>
      </c>
      <c r="BB176" s="13">
        <v>460730.7</v>
      </c>
      <c r="BC176" s="101">
        <f>MAX(ROUND(IF(F176&lt;4,IF(H176=0,(SUM(Y176:AD176)*Worksheet!$E$26+Y176*Worksheet!$E$27+AR176*Worksheet!$E$39)*-BaseRate,0)),2),MIN(0,-DI176))</f>
        <v>-98755.79</v>
      </c>
      <c r="BD176" s="101">
        <f>MAX(ROUND(IF(F176=4,0,IF(I176=0,0,ROUND(SUM(Y176:AD176)*Worksheet!$E$28,2)*-BaseRate)),2),MIN(0,-DI176-BC176))</f>
        <v>-2210.27</v>
      </c>
      <c r="BE176" s="130">
        <f t="shared" si="134"/>
        <v>2512</v>
      </c>
      <c r="BF176" s="130">
        <f t="shared" si="135"/>
        <v>1408</v>
      </c>
      <c r="BG176" s="73"/>
      <c r="BH176" s="118">
        <f t="shared" si="136"/>
        <v>44433.25</v>
      </c>
      <c r="BI176" s="118">
        <f t="shared" si="137"/>
        <v>9646</v>
      </c>
      <c r="BJ176" s="232">
        <f>IFERROR(ROUND(IF(AND(BB176*1.12&lt;N176*60/1000,N176/CL176&lt;STVPP*0.2),(CL176*STVPP*0.2*Worksheet!$F$88/1000-BB176*1.12)*PropTaxAdj,IF(BB176*1.12&lt;N176*60/1000,(N176*60/1000-BB176*1.12)*PropTaxAdj,0)),2),0)</f>
        <v>0</v>
      </c>
      <c r="BK176" s="116">
        <f>ROUND(IF($F176=4,0,Y176*Worksheet!$E$16),2)</f>
        <v>0.16</v>
      </c>
      <c r="BL176" s="116">
        <f>ROUND(IF($F176=4,0,Z176*Worksheet!$E$17),2)</f>
        <v>12</v>
      </c>
      <c r="BM176" s="116">
        <f>ROUND(IF($F176=4,0,AA176*Worksheet!$E$18),2)</f>
        <v>42</v>
      </c>
      <c r="BN176" s="116">
        <f>ROUND(IF($F176=4,0,AB176*Worksheet!$E$19),2)</f>
        <v>12</v>
      </c>
      <c r="BO176" s="116">
        <f>ROUND(IF($F176=4,0,AC176*Worksheet!$E$20),2)</f>
        <v>30</v>
      </c>
      <c r="BP176" s="116">
        <f>ROUND(AD176*Worksheet!$E$21,2)</f>
        <v>0</v>
      </c>
      <c r="BQ176" s="116">
        <f t="shared" si="105"/>
        <v>96.16</v>
      </c>
      <c r="BR176" s="116">
        <f>ROUND(AD176*Worksheet!$E$25,2)</f>
        <v>0</v>
      </c>
      <c r="BS176" s="116">
        <f>ROUND(SUM(BQ176)*Worksheet!$E$26,2)</f>
        <v>8.4600000000000009</v>
      </c>
      <c r="BT176" s="116">
        <f>ROUND(Y176*Worksheet!$E$27,2)</f>
        <v>0.03</v>
      </c>
      <c r="BU176" s="116">
        <f>ROUND(AO176*Worksheet!$E$29,2)</f>
        <v>0</v>
      </c>
      <c r="BV176" s="116">
        <f>ROUND(AP176*Worksheet!$E$30,2)</f>
        <v>0</v>
      </c>
      <c r="BW176" s="116">
        <f>ROUND(IF($I176&lt;&gt;0,$BQ176*Worksheet!$E$28,0),2)</f>
        <v>0.19</v>
      </c>
      <c r="BX176" s="116">
        <f>ROUND(AE176*Worksheet!$E$31,2)</f>
        <v>0</v>
      </c>
      <c r="BY176" s="116">
        <f>ROUND(AF176*Worksheet!$E$32,2)</f>
        <v>0</v>
      </c>
      <c r="BZ176" s="116">
        <f>ROUND(AG176*Worksheet!$E$33,2)</f>
        <v>0</v>
      </c>
      <c r="CA176" s="116">
        <f>ROUND(ROUND(AH176*BQ176,2)*Worksheet!$E$34,2)</f>
        <v>1.23</v>
      </c>
      <c r="CB176" s="116">
        <f>ROUND(AI176*Worksheet!$E$35,2)</f>
        <v>0.62</v>
      </c>
      <c r="CC176" s="116">
        <f>ROUND(AJ176*Worksheet!$E$36,2)</f>
        <v>0</v>
      </c>
      <c r="CD176" s="116">
        <f>ROUND(AQ176*Worksheet!$E$38,2)</f>
        <v>0.26</v>
      </c>
      <c r="CE176" s="116">
        <f>ROUND(AR176*Worksheet!$E$39,2)</f>
        <v>0</v>
      </c>
      <c r="CF176" s="116">
        <f>IF(AND(L176&gt;275,SUM(Y176:AD176)&lt;100),ROUND(SUM(Y176:AD176)*Worksheet!$E$41,2),0)</f>
        <v>0</v>
      </c>
      <c r="CG176" s="116">
        <f>IF(AND(L176&gt;600,SUM(Y176:AD176)&lt;50),ROUND((50-SUM(Y176:AD176))*(Worksheet!$E$41+1),2),0)</f>
        <v>0</v>
      </c>
      <c r="CH176" s="116">
        <f t="shared" si="106"/>
        <v>106.95000000000002</v>
      </c>
      <c r="CI176" s="116">
        <f t="shared" si="142"/>
        <v>0</v>
      </c>
      <c r="CJ176" s="116">
        <f t="shared" si="143"/>
        <v>106.95000000000002</v>
      </c>
      <c r="CK176" s="95">
        <f t="shared" si="138"/>
        <v>1.67</v>
      </c>
      <c r="CL176" s="116">
        <f t="shared" si="144"/>
        <v>178.61</v>
      </c>
      <c r="CM176" s="116">
        <f t="shared" si="145"/>
        <v>178.61</v>
      </c>
      <c r="CN176" s="116">
        <f t="shared" si="139"/>
        <v>2077770.13</v>
      </c>
      <c r="CO176" s="131">
        <f>ROUND(IF(F176=4,0,(MAX(ROUND(MAX((BI176*MIN(CL176,K176)*Worksheet!$D$126)+MAX(CL176-K176,0)*Worksheet!$F$50,SUM(J176)),2),SUM(CN176))-SUM(CN176))*MinAdj),2)</f>
        <v>0</v>
      </c>
      <c r="CP176" s="116">
        <f t="shared" si="140"/>
        <v>2077770.13</v>
      </c>
      <c r="CQ176" s="131">
        <f>IF(CL176=0,0,-MIN(CP176,MIN(CP176,ROUND(IF(ROUND(IF(CL176=0,0,N176/CL176),2)&lt;STVPP*0.2,STVPP*0.2*CL176*Worksheet!$F$88/1000,N176*Worksheet!$F$88/1000),2))))</f>
        <v>-476173.38</v>
      </c>
      <c r="CR176" s="131">
        <f>-MIN(SUM(CP176,CQ176),IF($P176=0,(ROUND(Worksheet!$E$77*S176,2)+ROUND(Worksheet!$E$78*T176,2)+ROUND(Worksheet!$E$79*U176,2)+ROUND(Worksheet!$E$80*V176,2)+ROUND(Worksheet!$E$81*W176,2)+ROUND(Worksheet!$E$82*X176,2)),(ROUND(ROUND(S176*ROUND((1-$O176/$P176),4),2)*Worksheet!$E$77,2)+ROUND(ROUND(T176*ROUND((1-$O176/$P176),4),2)*Worksheet!$E$78,2)+ROUND(ROUND(U176*ROUND((1-$O176/$P176),4),2)*Worksheet!$E$79,2)+ROUND(ROUND(V176*ROUND((1-$O176/$P176),4),2)*Worksheet!$E$80,2)+ROUND(ROUND(W176*ROUND((1-$O176/$P176),4),2)*Worksheet!$E$81,2)+ROUND(ROUND(X176*ROUND((1-$O176/$P176),4),2)*Worksheet!$E$82,2))))</f>
        <v>-8916.41</v>
      </c>
      <c r="CS176" s="116">
        <f t="shared" si="107"/>
        <v>1592680.34</v>
      </c>
      <c r="CT176" s="116">
        <f>ROUND(MIN(BA176,ROUND((ROUND(AS176*Worksheet!$E$104,2)+ROUND(AV176*Worksheet!$E$107,2)+ROUND(AT176*Worksheet!$E$105,2)+ROUND(AW176*Worksheet!$E$108,2)+ROUND(AU176*Worksheet!$E$106,2)+ROUND(AX176*Worksheet!$E$109,2)+ROUND(AY176*Worksheet!$E$110,2)+ROUND(AZ176*Worksheet!$E$111,2))*Worksheet!$D$114,2))*BaseRate,2)</f>
        <v>76777.8</v>
      </c>
      <c r="CU176" s="121">
        <v>0</v>
      </c>
      <c r="CV176" s="121">
        <v>0</v>
      </c>
      <c r="CW176" s="121">
        <v>0</v>
      </c>
      <c r="CX176" s="121">
        <v>0</v>
      </c>
      <c r="CY176" s="121">
        <v>0</v>
      </c>
      <c r="DA176" s="116">
        <f t="shared" si="108"/>
        <v>0</v>
      </c>
      <c r="DB176" s="116">
        <f>MAX(-CT176,MIN(0,ROUND($R176*EFBPercent+EFBAdd,2)-$Q176),MIN(0,SUM($CS176:CS176)+MIN(0,ROUND($R176*EFBPercent+EFBAdd,2)-$Q176)))</f>
        <v>0</v>
      </c>
      <c r="DC176" s="192">
        <f>IF(CU176&lt;0,0,MAX(-CU176,MIN(0,ROUND($R176*EFBPercent+EFBAdd,2)-$Q176),MIN(0,SUM($CS176:CT176)+MIN(0,ROUND($R176*EFBPercent+EFBAdd,2)-$Q176))))</f>
        <v>0</v>
      </c>
      <c r="DD176" s="192">
        <f>IF(CV176&lt;0,0,MAX(-CV176,MIN(0,ROUND($R176*EFBPercent+EFBAdd,2)-$Q176),MIN(0,SUM($CS176:CU176)+MIN(0,ROUND($R176*EFBPercent+EFBAdd,2)-$Q176))))</f>
        <v>0</v>
      </c>
      <c r="DE176" s="192">
        <f>IF(CW176&lt;0,0,MAX(-CW176,MIN(0,ROUND($R176*EFBPercent+EFBAdd,2)-$Q176),MIN(0,SUM($CS176:CV176)+MIN(0,ROUND($R176*EFBPercent+EFBAdd,2)-$Q176))))</f>
        <v>0</v>
      </c>
      <c r="DF176" s="192">
        <f>IF(CX176&lt;0,0,MAX(-CX176,MIN(0,ROUND($R176*EFBPercent+EFBAdd,2)-$Q176),MIN(0,SUM($CS176:CW176)+MIN(0,ROUND($R176*EFBPercent+EFBAdd,2)-$Q176))))</f>
        <v>0</v>
      </c>
      <c r="DG176" s="116">
        <f>MAX(-CY176,MIN(0,ROUND($R176*EFBPercent+EFBAdd,2)-$Q176),MIN(0,SUM($CS176:CX176)+MIN(0,ROUND($R176*EFBPercent+EFBAdd,2)-$Q176)))</f>
        <v>0</v>
      </c>
      <c r="DI176" s="73">
        <f t="shared" si="109"/>
        <v>1592680.34</v>
      </c>
      <c r="DJ176" s="73">
        <f t="shared" si="110"/>
        <v>76777.8</v>
      </c>
      <c r="DK176" s="73">
        <f t="shared" si="111"/>
        <v>0</v>
      </c>
      <c r="DL176" s="73">
        <f t="shared" si="112"/>
        <v>0</v>
      </c>
      <c r="DM176" s="73">
        <f t="shared" si="113"/>
        <v>0</v>
      </c>
      <c r="DN176" s="73">
        <f t="shared" si="114"/>
        <v>0</v>
      </c>
      <c r="DO176" s="73">
        <f t="shared" si="115"/>
        <v>0</v>
      </c>
      <c r="DP176" s="73"/>
      <c r="DQ176" s="73"/>
    </row>
    <row r="177" spans="1:121" ht="10.199999999999999" x14ac:dyDescent="0.2">
      <c r="A177" s="4" t="s">
        <v>636</v>
      </c>
      <c r="B177" s="72">
        <v>1071</v>
      </c>
      <c r="C177" s="13" t="s">
        <v>158</v>
      </c>
      <c r="D177" s="4">
        <v>2027</v>
      </c>
      <c r="E177" s="4" t="s">
        <v>471</v>
      </c>
      <c r="F177" s="4">
        <v>1</v>
      </c>
      <c r="G177" s="4" t="s">
        <v>666</v>
      </c>
      <c r="H177" s="4">
        <v>100</v>
      </c>
      <c r="I177" s="4" t="s">
        <v>849</v>
      </c>
      <c r="J177" s="5">
        <v>715164.41</v>
      </c>
      <c r="K177" s="5">
        <v>40.450000000000003</v>
      </c>
      <c r="L177" s="5">
        <v>169.5</v>
      </c>
      <c r="M177" s="5">
        <v>0</v>
      </c>
      <c r="N177" s="5">
        <v>5817625</v>
      </c>
      <c r="O177" s="5">
        <v>0</v>
      </c>
      <c r="P177" s="5">
        <v>92</v>
      </c>
      <c r="Q177" s="5">
        <v>0</v>
      </c>
      <c r="R177" s="5">
        <v>0</v>
      </c>
      <c r="S177" s="5">
        <v>0</v>
      </c>
      <c r="T177" s="5">
        <v>135.56</v>
      </c>
      <c r="U177" s="5">
        <v>0</v>
      </c>
      <c r="V177" s="5">
        <v>30320.199999999997</v>
      </c>
      <c r="W177" s="5">
        <v>545.55999999999995</v>
      </c>
      <c r="X177" s="5">
        <v>5099.74</v>
      </c>
      <c r="Y177" s="5">
        <v>0.12</v>
      </c>
      <c r="Z177" s="5">
        <v>1</v>
      </c>
      <c r="AA177" s="5">
        <v>22</v>
      </c>
      <c r="AB177" s="5">
        <v>0</v>
      </c>
      <c r="AC177" s="5">
        <v>0</v>
      </c>
      <c r="AD177" s="5">
        <v>0</v>
      </c>
      <c r="AE177" s="5">
        <v>0</v>
      </c>
      <c r="AF177" s="5">
        <v>0</v>
      </c>
      <c r="AG177" s="5">
        <v>0</v>
      </c>
      <c r="AH177" s="5">
        <v>0.33300000000000002</v>
      </c>
      <c r="AI177" s="5">
        <v>0</v>
      </c>
      <c r="AJ177" s="5">
        <v>0</v>
      </c>
      <c r="AK177" s="5">
        <v>0</v>
      </c>
      <c r="AL177" s="5">
        <v>21.37</v>
      </c>
      <c r="AM177" s="5">
        <v>0</v>
      </c>
      <c r="AN177" s="5">
        <v>23</v>
      </c>
      <c r="AO177" s="5">
        <f t="shared" si="141"/>
        <v>0</v>
      </c>
      <c r="AP177" s="5">
        <f t="shared" si="150"/>
        <v>0</v>
      </c>
      <c r="AQ177" s="5">
        <v>0</v>
      </c>
      <c r="AR177" s="5">
        <v>0</v>
      </c>
      <c r="AS177" s="5">
        <v>0</v>
      </c>
      <c r="AT177" s="5">
        <v>18920</v>
      </c>
      <c r="AU177" s="5">
        <v>0</v>
      </c>
      <c r="AV177" s="5">
        <v>688</v>
      </c>
      <c r="AW177" s="5">
        <v>169.5</v>
      </c>
      <c r="AX177" s="5">
        <v>1</v>
      </c>
      <c r="AY177" s="199">
        <v>0</v>
      </c>
      <c r="AZ177" s="199">
        <v>0</v>
      </c>
      <c r="BA177" s="5">
        <v>57300.44</v>
      </c>
      <c r="BB177" s="13">
        <v>349236.96</v>
      </c>
      <c r="BC177" s="101">
        <f>MAX(ROUND(IF(F177&lt;4,IF(H177=0,(SUM(Y177:AD177)*Worksheet!$E$26+Y177*Worksheet!$E$27+AR177*Worksheet!$E$39)*-BaseRate,0)),2),MIN(0,-DI177))</f>
        <v>0</v>
      </c>
      <c r="BD177" s="101">
        <f>MAX(ROUND(IF(F177=4,0,IF(I177=0,0,ROUND(SUM(Y177:AD177)*Worksheet!$E$28,2)*-BaseRate)),2),MIN(0,-DI177-BC177))</f>
        <v>-581.65</v>
      </c>
      <c r="BE177" s="130">
        <f t="shared" si="134"/>
        <v>0</v>
      </c>
      <c r="BF177" s="130">
        <f t="shared" si="135"/>
        <v>1405</v>
      </c>
      <c r="BG177" s="73"/>
      <c r="BH177" s="118">
        <f t="shared" si="136"/>
        <v>137111.12</v>
      </c>
      <c r="BI177" s="118">
        <f t="shared" si="137"/>
        <v>17680.21</v>
      </c>
      <c r="BJ177" s="232">
        <f>IFERROR(ROUND(IF(AND(BB177*1.12&lt;N177*60/1000,N177/CL177&lt;STVPP*0.2),(CL177*STVPP*0.2*Worksheet!$F$88/1000-BB177*1.12)*PropTaxAdj,IF(BB177*1.12&lt;N177*60/1000,(N177*60/1000-BB177*1.12)*PropTaxAdj,0)),2),0)</f>
        <v>0</v>
      </c>
      <c r="BK177" s="116">
        <f>ROUND(IF($F177=4,0,Y177*Worksheet!$E$16),2)</f>
        <v>0.12</v>
      </c>
      <c r="BL177" s="116">
        <f>ROUND(IF($F177=4,0,Z177*Worksheet!$E$17),2)</f>
        <v>1</v>
      </c>
      <c r="BM177" s="116">
        <f>ROUND(IF($F177=4,0,AA177*Worksheet!$E$18),2)</f>
        <v>22</v>
      </c>
      <c r="BN177" s="116">
        <f>ROUND(IF($F177=4,0,AB177*Worksheet!$E$19),2)</f>
        <v>0</v>
      </c>
      <c r="BO177" s="116">
        <f>ROUND(IF($F177=4,0,AC177*Worksheet!$E$20),2)</f>
        <v>0</v>
      </c>
      <c r="BP177" s="116">
        <f>ROUND(AD177*Worksheet!$E$21,2)</f>
        <v>0</v>
      </c>
      <c r="BQ177" s="116">
        <f t="shared" si="105"/>
        <v>23.12</v>
      </c>
      <c r="BR177" s="116">
        <f>ROUND(AD177*Worksheet!$E$25,2)</f>
        <v>0</v>
      </c>
      <c r="BS177" s="116">
        <f>ROUND(SUM(BQ177)*Worksheet!$E$26,2)</f>
        <v>2.0299999999999998</v>
      </c>
      <c r="BT177" s="116">
        <f>ROUND(Y177*Worksheet!$E$27,2)</f>
        <v>0.02</v>
      </c>
      <c r="BU177" s="116">
        <f>ROUND(AO177*Worksheet!$E$29,2)</f>
        <v>0</v>
      </c>
      <c r="BV177" s="116">
        <f>ROUND(AP177*Worksheet!$E$30,2)</f>
        <v>0</v>
      </c>
      <c r="BW177" s="116">
        <f>ROUND(IF($I177&lt;&gt;0,$BQ177*Worksheet!$E$28,0),2)</f>
        <v>0.05</v>
      </c>
      <c r="BX177" s="116">
        <f>ROUND(AE177*Worksheet!$E$31,2)</f>
        <v>0</v>
      </c>
      <c r="BY177" s="116">
        <f>ROUND(AF177*Worksheet!$E$32,2)</f>
        <v>0</v>
      </c>
      <c r="BZ177" s="116">
        <f>ROUND(AG177*Worksheet!$E$33,2)</f>
        <v>0</v>
      </c>
      <c r="CA177" s="116">
        <f>ROUND(ROUND(AH177*BQ177,2)*Worksheet!$E$34,2)</f>
        <v>0.19</v>
      </c>
      <c r="CB177" s="116">
        <f>ROUND(AI177*Worksheet!$E$35,2)</f>
        <v>0</v>
      </c>
      <c r="CC177" s="116">
        <f>ROUND(AJ177*Worksheet!$E$36,2)</f>
        <v>0</v>
      </c>
      <c r="CD177" s="116">
        <f>ROUND(AQ177*Worksheet!$E$38,2)</f>
        <v>0</v>
      </c>
      <c r="CE177" s="116">
        <f>ROUND(AR177*Worksheet!$E$39,2)</f>
        <v>0</v>
      </c>
      <c r="CF177" s="116">
        <f>IF(AND(L177&gt;275,SUM(Y177:AD177)&lt;100),ROUND(SUM(Y177:AD177)*Worksheet!$E$41,2),0)</f>
        <v>0</v>
      </c>
      <c r="CG177" s="116">
        <f>IF(AND(L177&gt;600,SUM(Y177:AD177)&lt;50),ROUND((50-SUM(Y177:AD177))*(Worksheet!$E$41+1),2),0)</f>
        <v>0</v>
      </c>
      <c r="CH177" s="116">
        <f t="shared" si="106"/>
        <v>25.410000000000004</v>
      </c>
      <c r="CI177" s="116">
        <f t="shared" si="142"/>
        <v>0</v>
      </c>
      <c r="CJ177" s="116">
        <f t="shared" si="143"/>
        <v>25.410000000000004</v>
      </c>
      <c r="CK177" s="95">
        <f t="shared" si="138"/>
        <v>1.67</v>
      </c>
      <c r="CL177" s="116">
        <f t="shared" si="144"/>
        <v>42.43</v>
      </c>
      <c r="CM177" s="116">
        <f t="shared" si="145"/>
        <v>42.43</v>
      </c>
      <c r="CN177" s="116">
        <f t="shared" si="139"/>
        <v>493588.19</v>
      </c>
      <c r="CO177" s="131">
        <f>ROUND(IF(F177=4,0,(MAX(ROUND(MAX((BI177*MIN(CL177,K177)*Worksheet!$D$126)+MAX(CL177-K177,0)*Worksheet!$F$50,SUM(J177)),2),SUM(CN177))-SUM(CN177))*MinAdj),2)</f>
        <v>38836.94</v>
      </c>
      <c r="CP177" s="116">
        <f t="shared" si="140"/>
        <v>532425.13</v>
      </c>
      <c r="CQ177" s="131">
        <f>IF(CL177=0,0,-MIN(CP177,MIN(CP177,ROUND(IF(ROUND(IF(CL177=0,0,N177/CL177),2)&lt;STVPP*0.2,STVPP*0.2*CL177*Worksheet!$F$88/1000,N177*Worksheet!$F$88/1000),2))))</f>
        <v>-349057.5</v>
      </c>
      <c r="CR177" s="131">
        <f>-MIN(SUM(CP177,CQ177),IF($P177=0,(ROUND(Worksheet!$E$77*S177,2)+ROUND(Worksheet!$E$78*T177,2)+ROUND(Worksheet!$E$79*U177,2)+ROUND(Worksheet!$E$80*V177,2)+ROUND(Worksheet!$E$81*W177,2)+ROUND(Worksheet!$E$82*X177,2)),(ROUND(ROUND(S177*ROUND((1-$O177/$P177),4),2)*Worksheet!$E$77,2)+ROUND(ROUND(T177*ROUND((1-$O177/$P177),4),2)*Worksheet!$E$78,2)+ROUND(ROUND(U177*ROUND((1-$O177/$P177),4),2)*Worksheet!$E$79,2)+ROUND(ROUND(V177*ROUND((1-$O177/$P177),4),2)*Worksheet!$E$80,2)+ROUND(ROUND(W177*ROUND((1-$O177/$P177),4),2)*Worksheet!$E$81,2)+ROUND(ROUND(X177*ROUND((1-$O177/$P177),4),2)*Worksheet!$E$82,2))))</f>
        <v>-27075.8</v>
      </c>
      <c r="CS177" s="116">
        <f t="shared" si="107"/>
        <v>156291.83000000002</v>
      </c>
      <c r="CT177" s="116">
        <f>ROUND(MIN(BA177,ROUND((ROUND(AS177*Worksheet!$E$104,2)+ROUND(AV177*Worksheet!$E$107,2)+ROUND(AT177*Worksheet!$E$105,2)+ROUND(AW177*Worksheet!$E$108,2)+ROUND(AU177*Worksheet!$E$106,2)+ROUND(AX177*Worksheet!$E$109,2)+ROUND(AY177*Worksheet!$E$110,2)+ROUND(AZ177*Worksheet!$E$111,2))*Worksheet!$D$114,2))*BaseRate,2)</f>
        <v>33619.370000000003</v>
      </c>
      <c r="CU177" s="121">
        <v>0</v>
      </c>
      <c r="CV177" s="121">
        <v>0</v>
      </c>
      <c r="CW177" s="121">
        <v>0</v>
      </c>
      <c r="CX177" s="121">
        <v>0</v>
      </c>
      <c r="CY177" s="121">
        <v>0</v>
      </c>
      <c r="DA177" s="116">
        <f t="shared" si="108"/>
        <v>0</v>
      </c>
      <c r="DB177" s="116">
        <f>MAX(-CT177,MIN(0,ROUND($R177*EFBPercent+EFBAdd,2)-$Q177),MIN(0,SUM($CS177:CS177)+MIN(0,ROUND($R177*EFBPercent+EFBAdd,2)-$Q177)))</f>
        <v>0</v>
      </c>
      <c r="DC177" s="192">
        <f>IF(CU177&lt;0,0,MAX(-CU177,MIN(0,ROUND($R177*EFBPercent+EFBAdd,2)-$Q177),MIN(0,SUM($CS177:CT177)+MIN(0,ROUND($R177*EFBPercent+EFBAdd,2)-$Q177))))</f>
        <v>0</v>
      </c>
      <c r="DD177" s="192">
        <f>IF(CV177&lt;0,0,MAX(-CV177,MIN(0,ROUND($R177*EFBPercent+EFBAdd,2)-$Q177),MIN(0,SUM($CS177:CU177)+MIN(0,ROUND($R177*EFBPercent+EFBAdd,2)-$Q177))))</f>
        <v>0</v>
      </c>
      <c r="DE177" s="192">
        <f>IF(CW177&lt;0,0,MAX(-CW177,MIN(0,ROUND($R177*EFBPercent+EFBAdd,2)-$Q177),MIN(0,SUM($CS177:CV177)+MIN(0,ROUND($R177*EFBPercent+EFBAdd,2)-$Q177))))</f>
        <v>0</v>
      </c>
      <c r="DF177" s="192">
        <f>IF(CX177&lt;0,0,MAX(-CX177,MIN(0,ROUND($R177*EFBPercent+EFBAdd,2)-$Q177),MIN(0,SUM($CS177:CW177)+MIN(0,ROUND($R177*EFBPercent+EFBAdd,2)-$Q177))))</f>
        <v>0</v>
      </c>
      <c r="DG177" s="116">
        <f>MAX(-CY177,MIN(0,ROUND($R177*EFBPercent+EFBAdd,2)-$Q177),MIN(0,SUM($CS177:CX177)+MIN(0,ROUND($R177*EFBPercent+EFBAdd,2)-$Q177)))</f>
        <v>0</v>
      </c>
      <c r="DI177" s="73">
        <f t="shared" si="109"/>
        <v>156291.83000000002</v>
      </c>
      <c r="DJ177" s="73">
        <f t="shared" si="110"/>
        <v>33619.370000000003</v>
      </c>
      <c r="DK177" s="73">
        <f t="shared" si="111"/>
        <v>0</v>
      </c>
      <c r="DL177" s="73">
        <f t="shared" si="112"/>
        <v>0</v>
      </c>
      <c r="DM177" s="73">
        <f t="shared" si="113"/>
        <v>0</v>
      </c>
      <c r="DN177" s="73">
        <f t="shared" si="114"/>
        <v>0</v>
      </c>
      <c r="DO177" s="73">
        <f t="shared" si="115"/>
        <v>0</v>
      </c>
      <c r="DP177" s="73"/>
      <c r="DQ177" s="73"/>
    </row>
    <row r="178" spans="1:121" ht="10.199999999999999" x14ac:dyDescent="0.2">
      <c r="A178" s="4" t="s">
        <v>841</v>
      </c>
      <c r="B178" s="188">
        <v>2513</v>
      </c>
      <c r="C178" s="189" t="s">
        <v>843</v>
      </c>
      <c r="D178" s="4">
        <v>2027</v>
      </c>
      <c r="E178" s="4" t="s">
        <v>1048</v>
      </c>
      <c r="F178" s="4">
        <v>7</v>
      </c>
      <c r="G178" s="4" t="s">
        <v>841</v>
      </c>
      <c r="H178" s="4">
        <v>0</v>
      </c>
      <c r="I178" s="4">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f t="shared" si="141"/>
        <v>0</v>
      </c>
      <c r="AP178" s="5">
        <v>0</v>
      </c>
      <c r="AQ178" s="5">
        <v>0</v>
      </c>
      <c r="AR178" s="5">
        <v>0</v>
      </c>
      <c r="AS178" s="5">
        <v>0</v>
      </c>
      <c r="AT178" s="5">
        <v>0</v>
      </c>
      <c r="AU178" s="5">
        <v>0</v>
      </c>
      <c r="AV178" s="5">
        <v>0</v>
      </c>
      <c r="AW178" s="5">
        <v>0</v>
      </c>
      <c r="AX178" s="5">
        <v>0</v>
      </c>
      <c r="AY178" s="199">
        <v>0</v>
      </c>
      <c r="AZ178" s="199">
        <v>0</v>
      </c>
      <c r="BA178" s="5">
        <v>0</v>
      </c>
      <c r="BB178" s="13">
        <v>0</v>
      </c>
      <c r="BC178" s="190">
        <f>MAX(ROUND(IF(F178&lt;4,IF(H178=0,(SUM(Y178:AD178)*Worksheet!$E$26+Y178*Worksheet!$E$27+AR178*Worksheet!$E$39)*-BaseRate,0)),2),MIN(0,-DI178))</f>
        <v>0</v>
      </c>
      <c r="BD178" s="190">
        <f>MAX(ROUND(IF(F178=4,0,IF(I178=0,0,ROUND(SUM(Y178:AD178)*Worksheet!$E$28,2)*-BaseRate)),2),MIN(0,-DI178-BC178))</f>
        <v>0</v>
      </c>
      <c r="BE178" s="130">
        <f t="shared" si="134"/>
        <v>0</v>
      </c>
      <c r="BF178" s="130">
        <f t="shared" si="135"/>
        <v>0</v>
      </c>
      <c r="BG178" s="73"/>
      <c r="BH178" s="191">
        <f t="shared" si="136"/>
        <v>0</v>
      </c>
      <c r="BI178" s="191">
        <f t="shared" si="137"/>
        <v>0</v>
      </c>
      <c r="BJ178" s="232">
        <f>IFERROR(ROUND(IF(AND(BB178*1.12&lt;N178*60/1000,N178/CL178&lt;STVPP*0.2),(CL178*STVPP*0.2*Worksheet!$F$88/1000-BB178*1.12)*PropTaxAdj,IF(BB178*1.12&lt;N178*60/1000,(N178*60/1000-BB178*1.12)*PropTaxAdj,0)),2),0)</f>
        <v>0</v>
      </c>
      <c r="BK178" s="192">
        <f>ROUND(IF($F178=4,0,Y178*Worksheet!$E$16),2)</f>
        <v>0</v>
      </c>
      <c r="BL178" s="192">
        <f>ROUND(IF($F178=4,0,Z178*Worksheet!$E$17),2)</f>
        <v>0</v>
      </c>
      <c r="BM178" s="192">
        <f>ROUND(IF($F178=4,0,AA178*Worksheet!$E$18),2)</f>
        <v>0</v>
      </c>
      <c r="BN178" s="192">
        <f>ROUND(IF($F178=4,0,AB178*Worksheet!$E$19),2)</f>
        <v>0</v>
      </c>
      <c r="BO178" s="192">
        <f>ROUND(IF($F178=4,0,AC178*Worksheet!$E$20),2)</f>
        <v>0</v>
      </c>
      <c r="BP178" s="192">
        <f>ROUND(AD178*Worksheet!$E$21,2)</f>
        <v>0</v>
      </c>
      <c r="BQ178" s="192">
        <f t="shared" si="105"/>
        <v>0</v>
      </c>
      <c r="BR178" s="192">
        <f>ROUND(AD178*Worksheet!$E$25,2)</f>
        <v>0</v>
      </c>
      <c r="BS178" s="192">
        <f>ROUND(SUM(BQ178)*Worksheet!$E$26,2)</f>
        <v>0</v>
      </c>
      <c r="BT178" s="192">
        <f>ROUND(Y178*Worksheet!$E$27,2)</f>
        <v>0</v>
      </c>
      <c r="BU178" s="192">
        <f>ROUND(AO178*Worksheet!$E$29,2)</f>
        <v>0</v>
      </c>
      <c r="BV178" s="192">
        <f>ROUND(AP178*Worksheet!$E$30,2)</f>
        <v>0</v>
      </c>
      <c r="BW178" s="192">
        <f>ROUND(IF($I178&lt;&gt;0,$BQ178*Worksheet!$E$28,0),2)</f>
        <v>0</v>
      </c>
      <c r="BX178" s="192">
        <f>ROUND(AE178*Worksheet!$E$31,2)</f>
        <v>0</v>
      </c>
      <c r="BY178" s="192">
        <f>ROUND(AF178*Worksheet!$E$32,2)</f>
        <v>0</v>
      </c>
      <c r="BZ178" s="192">
        <f>ROUND(AG178*Worksheet!$E$33,2)</f>
        <v>0</v>
      </c>
      <c r="CA178" s="192">
        <f>ROUND(ROUND(AH178*BQ178,2)*Worksheet!$E$34,2)</f>
        <v>0</v>
      </c>
      <c r="CB178" s="192">
        <f>ROUND(AI178*Worksheet!$E$35,2)</f>
        <v>0</v>
      </c>
      <c r="CC178" s="192">
        <f>ROUND(AJ178*Worksheet!$E$36,2)</f>
        <v>0</v>
      </c>
      <c r="CD178" s="192">
        <f>ROUND(AQ178*Worksheet!$E$38,2)</f>
        <v>0</v>
      </c>
      <c r="CE178" s="192">
        <f>ROUND(AR178*Worksheet!$E$39,2)</f>
        <v>0</v>
      </c>
      <c r="CF178" s="192">
        <f>IF(AND(L178&gt;275,SUM(Y178:AD178)&lt;100),ROUND(SUM(Y178:AD178)*Worksheet!$E$41,2),0)</f>
        <v>0</v>
      </c>
      <c r="CG178" s="192">
        <f>IF(AND(L178&gt;600,SUM(Y178:AD178)&lt;50),ROUND((50-SUM(Y178:AD178))*(Worksheet!$E$41+1),2),0)</f>
        <v>0</v>
      </c>
      <c r="CH178" s="192">
        <f t="shared" si="106"/>
        <v>0</v>
      </c>
      <c r="CI178" s="116">
        <f t="shared" si="142"/>
        <v>0</v>
      </c>
      <c r="CJ178" s="116">
        <f t="shared" si="143"/>
        <v>0</v>
      </c>
      <c r="CK178" s="95">
        <f t="shared" si="138"/>
        <v>0</v>
      </c>
      <c r="CL178" s="116">
        <f t="shared" si="144"/>
        <v>0</v>
      </c>
      <c r="CM178" s="116">
        <f t="shared" si="145"/>
        <v>0</v>
      </c>
      <c r="CN178" s="116">
        <f t="shared" si="139"/>
        <v>0</v>
      </c>
      <c r="CO178" s="131">
        <f>ROUND(IF(F178=4,0,(MAX(ROUND(MAX((BI178*MIN(CL178,K178)*Worksheet!$D$126)+MAX(CL178-K178,0)*Worksheet!$F$50,SUM(J178)),2),SUM(CN178))-SUM(CN178))*MinAdj),2)</f>
        <v>0</v>
      </c>
      <c r="CP178" s="192">
        <f t="shared" si="140"/>
        <v>0</v>
      </c>
      <c r="CQ178" s="131">
        <f>IF(CL178=0,0,-MIN(CP178,MIN(CP178,ROUND(IF(ROUND(IF(CL178=0,0,N178/CL178),2)&lt;STVPP*0.2,STVPP*0.2*CL178*Worksheet!$F$88/1000,N178*Worksheet!$F$88/1000),2))))</f>
        <v>0</v>
      </c>
      <c r="CR178" s="193">
        <f>-MIN(SUM(CP178,CQ178),IF($P178=0,(ROUND(Worksheet!$E$77*S178,2)+ROUND(Worksheet!$E$78*T178,2)+ROUND(Worksheet!$E$79*U178,2)+ROUND(Worksheet!$E$80*V178,2)+ROUND(Worksheet!$E$81*W178,2)+ROUND(Worksheet!$E$82*X178,2)),(ROUND(ROUND(S178*ROUND((1-$O178/$P178),4),2)*Worksheet!$E$77,2)+ROUND(ROUND(T178*ROUND((1-$O178/$P178),4),2)*Worksheet!$E$78,2)+ROUND(ROUND(U178*ROUND((1-$O178/$P178),4),2)*Worksheet!$E$79,2)+ROUND(ROUND(V178*ROUND((1-$O178/$P178),4),2)*Worksheet!$E$80,2)+ROUND(ROUND(W178*ROUND((1-$O178/$P178),4),2)*Worksheet!$E$81,2)+ROUND(ROUND(X178*ROUND((1-$O178/$P178),4),2)*Worksheet!$E$82,2))))</f>
        <v>0</v>
      </c>
      <c r="CS178" s="192">
        <f t="shared" si="107"/>
        <v>0</v>
      </c>
      <c r="CT178" s="116">
        <f>ROUND(MIN(BA178,ROUND((ROUND(AS178*Worksheet!$E$104,2)+ROUND(AV178*Worksheet!$E$107,2)+ROUND(AT178*Worksheet!$E$105,2)+ROUND(AW178*Worksheet!$E$108,2)+ROUND(AU178*Worksheet!$E$106,2)+ROUND(AX178*Worksheet!$E$109,2)+ROUND(AY178*Worksheet!$E$110,2)+ROUND(AZ178*Worksheet!$E$111,2))*Worksheet!$D$114,2))*BaseRate,2)</f>
        <v>0</v>
      </c>
      <c r="CU178" s="121">
        <v>0</v>
      </c>
      <c r="CV178" s="121">
        <v>0</v>
      </c>
      <c r="CW178" s="121">
        <v>0</v>
      </c>
      <c r="CX178" s="121">
        <v>0</v>
      </c>
      <c r="CY178" s="121">
        <v>0</v>
      </c>
      <c r="DA178" s="192">
        <f t="shared" si="108"/>
        <v>0</v>
      </c>
      <c r="DB178" s="192">
        <f>MAX(-CT178,MIN(0,ROUND($R178*EFBPercent+EFBAdd,2)-$Q178),MIN(0,SUM($CS178:CS178)+MIN(0,ROUND($R178*EFBPercent+EFBAdd,2)-$Q178)))</f>
        <v>0</v>
      </c>
      <c r="DC178" s="192">
        <f>IF(CU178&lt;0,0,MAX(-CU178,MIN(0,ROUND($R178*EFBPercent+EFBAdd,2)-$Q178),MIN(0,SUM($CS178:CT178)+MIN(0,ROUND($R178*EFBPercent+EFBAdd,2)-$Q178))))</f>
        <v>0</v>
      </c>
      <c r="DD178" s="192">
        <f>IF(CV178&lt;0,0,MAX(-CV178,MIN(0,ROUND($R178*EFBPercent+EFBAdd,2)-$Q178),MIN(0,SUM($CS178:CU178)+MIN(0,ROUND($R178*EFBPercent+EFBAdd,2)-$Q178))))</f>
        <v>0</v>
      </c>
      <c r="DE178" s="192">
        <f>IF(CW178&lt;0,0,MAX(-CW178,MIN(0,ROUND($R178*EFBPercent+EFBAdd,2)-$Q178),MIN(0,SUM($CS178:CV178)+MIN(0,ROUND($R178*EFBPercent+EFBAdd,2)-$Q178))))</f>
        <v>0</v>
      </c>
      <c r="DF178" s="192">
        <f>IF(CX178&lt;0,0,MAX(-CX178,MIN(0,ROUND($R178*EFBPercent+EFBAdd,2)-$Q178),MIN(0,SUM($CS178:CW178)+MIN(0,ROUND($R178*EFBPercent+EFBAdd,2)-$Q178))))</f>
        <v>0</v>
      </c>
      <c r="DG178" s="192">
        <f>MAX(-CY178,MIN(0,ROUND($R178*EFBPercent+EFBAdd,2)-$Q178),MIN(0,SUM($CS178:CX178)+MIN(0,ROUND($R178*EFBPercent+EFBAdd,2)-$Q178)))</f>
        <v>0</v>
      </c>
      <c r="DI178" s="73">
        <f t="shared" si="109"/>
        <v>0</v>
      </c>
      <c r="DJ178" s="73">
        <f t="shared" si="110"/>
        <v>0</v>
      </c>
      <c r="DK178" s="73">
        <f t="shared" si="111"/>
        <v>0</v>
      </c>
      <c r="DL178" s="73">
        <f t="shared" si="112"/>
        <v>0</v>
      </c>
      <c r="DM178" s="73">
        <f t="shared" si="113"/>
        <v>0</v>
      </c>
      <c r="DN178" s="73">
        <f t="shared" si="114"/>
        <v>0</v>
      </c>
      <c r="DO178" s="73">
        <f t="shared" si="115"/>
        <v>0</v>
      </c>
      <c r="DP178" s="73"/>
      <c r="DQ178" s="73"/>
    </row>
    <row r="179" spans="1:121" ht="10.199999999999999" x14ac:dyDescent="0.2">
      <c r="A179" s="4" t="s">
        <v>840</v>
      </c>
      <c r="B179" s="72">
        <v>2512</v>
      </c>
      <c r="C179" s="13" t="s">
        <v>844</v>
      </c>
      <c r="D179" s="4">
        <v>2027</v>
      </c>
      <c r="E179" s="4" t="s">
        <v>1059</v>
      </c>
      <c r="F179" s="4">
        <v>7</v>
      </c>
      <c r="G179" s="4" t="s">
        <v>840</v>
      </c>
      <c r="H179" s="4">
        <v>100</v>
      </c>
      <c r="I179" s="4">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f t="shared" si="141"/>
        <v>0</v>
      </c>
      <c r="AP179" s="5">
        <v>0</v>
      </c>
      <c r="AQ179" s="5">
        <v>0</v>
      </c>
      <c r="AR179" s="5">
        <v>0</v>
      </c>
      <c r="AS179" s="5">
        <v>0</v>
      </c>
      <c r="AT179" s="5">
        <v>0</v>
      </c>
      <c r="AU179" s="5">
        <v>0</v>
      </c>
      <c r="AV179" s="5">
        <v>0</v>
      </c>
      <c r="AW179" s="5">
        <v>0</v>
      </c>
      <c r="AX179" s="5">
        <v>0</v>
      </c>
      <c r="AY179" s="199">
        <v>0</v>
      </c>
      <c r="AZ179" s="199">
        <v>0</v>
      </c>
      <c r="BA179" s="5">
        <v>0</v>
      </c>
      <c r="BB179" s="13">
        <v>0</v>
      </c>
      <c r="BC179" s="101">
        <f>MAX(ROUND(IF(F179&lt;4,IF(H179=0,(SUM(Y179:AD179)*Worksheet!$E$26+Y179*Worksheet!$E$27+AR179*Worksheet!$E$39)*-BaseRate,0)),2),MIN(0,-DI179))</f>
        <v>0</v>
      </c>
      <c r="BD179" s="101">
        <f>MAX(ROUND(IF(F179=4,0,IF(I179=0,0,ROUND(SUM(Y179:AD179)*Worksheet!$E$28,2)*-BaseRate)),2),MIN(0,-DI179-BC179))</f>
        <v>0</v>
      </c>
      <c r="BE179" s="130">
        <f t="shared" si="134"/>
        <v>0</v>
      </c>
      <c r="BF179" s="130">
        <f t="shared" si="135"/>
        <v>0</v>
      </c>
      <c r="BG179" s="73"/>
      <c r="BH179" s="118">
        <f t="shared" si="136"/>
        <v>0</v>
      </c>
      <c r="BI179" s="118">
        <f t="shared" si="137"/>
        <v>0</v>
      </c>
      <c r="BJ179" s="232">
        <f>IFERROR(ROUND(IF(AND(BB179*1.12&lt;N179*60/1000,N179/CL179&lt;STVPP*0.2),(CL179*STVPP*0.2*Worksheet!$F$88/1000-BB179*1.12)*PropTaxAdj,IF(BB179*1.12&lt;N179*60/1000,(N179*60/1000-BB179*1.12)*PropTaxAdj,0)),2),0)</f>
        <v>0</v>
      </c>
      <c r="BK179" s="116">
        <f>ROUND(IF($F179=4,0,Y179*Worksheet!$E$16),2)</f>
        <v>0</v>
      </c>
      <c r="BL179" s="116">
        <f>ROUND(IF($F179=4,0,Z179*Worksheet!$E$17),2)</f>
        <v>0</v>
      </c>
      <c r="BM179" s="116">
        <f>ROUND(IF($F179=4,0,AA179*Worksheet!$E$18),2)</f>
        <v>0</v>
      </c>
      <c r="BN179" s="116">
        <f>ROUND(IF($F179=4,0,AB179*Worksheet!$E$19),2)</f>
        <v>0</v>
      </c>
      <c r="BO179" s="116">
        <f>ROUND(IF($F179=4,0,AC179*Worksheet!$E$20),2)</f>
        <v>0</v>
      </c>
      <c r="BP179" s="116">
        <f>ROUND(AD179*Worksheet!$E$21,2)</f>
        <v>0</v>
      </c>
      <c r="BQ179" s="116">
        <f t="shared" si="105"/>
        <v>0</v>
      </c>
      <c r="BR179" s="116">
        <f>ROUND(AD179*Worksheet!$E$25,2)</f>
        <v>0</v>
      </c>
      <c r="BS179" s="116">
        <f>ROUND(SUM(BQ179)*Worksheet!$E$26,2)</f>
        <v>0</v>
      </c>
      <c r="BT179" s="116">
        <f>ROUND(Y179*Worksheet!$E$27,2)</f>
        <v>0</v>
      </c>
      <c r="BU179" s="116">
        <f>ROUND(AO179*Worksheet!$E$29,2)</f>
        <v>0</v>
      </c>
      <c r="BV179" s="116">
        <f>ROUND(AP179*Worksheet!$E$30,2)</f>
        <v>0</v>
      </c>
      <c r="BW179" s="116">
        <f>ROUND(IF($I179&lt;&gt;0,$BQ179*Worksheet!$E$28,0),2)</f>
        <v>0</v>
      </c>
      <c r="BX179" s="116">
        <f>ROUND(AE179*Worksheet!$E$31,2)</f>
        <v>0</v>
      </c>
      <c r="BY179" s="116">
        <f>ROUND(AF179*Worksheet!$E$32,2)</f>
        <v>0</v>
      </c>
      <c r="BZ179" s="116">
        <f>ROUND(AG179*Worksheet!$E$33,2)</f>
        <v>0</v>
      </c>
      <c r="CA179" s="116">
        <f>ROUND(ROUND(AH179*BQ179,2)*Worksheet!$E$34,2)</f>
        <v>0</v>
      </c>
      <c r="CB179" s="116">
        <f>ROUND(AI179*Worksheet!$E$35,2)</f>
        <v>0</v>
      </c>
      <c r="CC179" s="116">
        <f>ROUND(AJ179*Worksheet!$E$36,2)</f>
        <v>0</v>
      </c>
      <c r="CD179" s="116">
        <f>ROUND(AQ179*Worksheet!$E$38,2)</f>
        <v>0</v>
      </c>
      <c r="CE179" s="116">
        <f>ROUND(AR179*Worksheet!$E$39,2)</f>
        <v>0</v>
      </c>
      <c r="CF179" s="116">
        <f>IF(AND(L179&gt;275,SUM(Y179:AD179)&lt;100),ROUND(SUM(Y179:AD179)*Worksheet!$E$41,2),0)</f>
        <v>0</v>
      </c>
      <c r="CG179" s="116">
        <f>IF(AND(L179&gt;600,SUM(Y179:AD179)&lt;50),ROUND((50-SUM(Y179:AD179))*(Worksheet!$E$41+1),2),0)</f>
        <v>0</v>
      </c>
      <c r="CH179" s="116">
        <f t="shared" si="106"/>
        <v>0</v>
      </c>
      <c r="CI179" s="116">
        <f t="shared" si="142"/>
        <v>0</v>
      </c>
      <c r="CJ179" s="116">
        <f t="shared" si="143"/>
        <v>0</v>
      </c>
      <c r="CK179" s="95">
        <f t="shared" si="138"/>
        <v>0</v>
      </c>
      <c r="CL179" s="116">
        <f t="shared" si="144"/>
        <v>0</v>
      </c>
      <c r="CM179" s="116">
        <f t="shared" si="145"/>
        <v>0</v>
      </c>
      <c r="CN179" s="116">
        <f t="shared" si="139"/>
        <v>0</v>
      </c>
      <c r="CO179" s="131">
        <f>ROUND(IF(F179=4,0,(MAX(ROUND(MAX((BI179*MIN(CL179,K179)*Worksheet!$D$126)+MAX(CL179-K179,0)*Worksheet!$F$50,SUM(J179)),2),SUM(CN179))-SUM(CN179))*MinAdj),2)</f>
        <v>0</v>
      </c>
      <c r="CP179" s="116">
        <f t="shared" si="140"/>
        <v>0</v>
      </c>
      <c r="CQ179" s="131">
        <f>IF(CL179=0,0,-MIN(CP179,MIN(CP179,ROUND(IF(ROUND(IF(CL179=0,0,N179/CL179),2)&lt;STVPP*0.2,STVPP*0.2*CL179*Worksheet!$F$88/1000,N179*Worksheet!$F$88/1000),2))))</f>
        <v>0</v>
      </c>
      <c r="CR179" s="131">
        <f>-MIN(SUM(CP179,CQ179),IF($P179=0,(ROUND(Worksheet!$E$77*S179,2)+ROUND(Worksheet!$E$78*T179,2)+ROUND(Worksheet!$E$79*U179,2)+ROUND(Worksheet!$E$80*V179,2)+ROUND(Worksheet!$E$81*W179,2)+ROUND(Worksheet!$E$82*X179,2)),(ROUND(ROUND(S179*ROUND((1-$O179/$P179),4),2)*Worksheet!$E$77,2)+ROUND(ROUND(T179*ROUND((1-$O179/$P179),4),2)*Worksheet!$E$78,2)+ROUND(ROUND(U179*ROUND((1-$O179/$P179),4),2)*Worksheet!$E$79,2)+ROUND(ROUND(V179*ROUND((1-$O179/$P179),4),2)*Worksheet!$E$80,2)+ROUND(ROUND(W179*ROUND((1-$O179/$P179),4),2)*Worksheet!$E$81,2)+ROUND(ROUND(X179*ROUND((1-$O179/$P179),4),2)*Worksheet!$E$82,2))))</f>
        <v>0</v>
      </c>
      <c r="CS179" s="116">
        <f t="shared" si="107"/>
        <v>0</v>
      </c>
      <c r="CT179" s="116">
        <f>ROUND(MIN(BA179,ROUND((ROUND(AS179*Worksheet!$E$104,2)+ROUND(AV179*Worksheet!$E$107,2)+ROUND(AT179*Worksheet!$E$105,2)+ROUND(AW179*Worksheet!$E$108,2)+ROUND(AU179*Worksheet!$E$106,2)+ROUND(AX179*Worksheet!$E$109,2)+ROUND(AY179*Worksheet!$E$110,2)+ROUND(AZ179*Worksheet!$E$111,2))*Worksheet!$D$114,2))*BaseRate,2)</f>
        <v>0</v>
      </c>
      <c r="CU179" s="121">
        <v>0</v>
      </c>
      <c r="CV179" s="121">
        <v>0</v>
      </c>
      <c r="CW179" s="121">
        <v>0</v>
      </c>
      <c r="CX179" s="121">
        <v>0</v>
      </c>
      <c r="CY179" s="121">
        <v>0</v>
      </c>
      <c r="DA179" s="116">
        <f t="shared" si="108"/>
        <v>0</v>
      </c>
      <c r="DB179" s="116">
        <f>MAX(-CT179,MIN(0,ROUND($R179*EFBPercent+EFBAdd,2)-$Q179),MIN(0,SUM($CS179:CS179)+MIN(0,ROUND($R179*EFBPercent+EFBAdd,2)-$Q179)))</f>
        <v>0</v>
      </c>
      <c r="DC179" s="192">
        <f>IF(CU179&lt;0,0,MAX(-CU179,MIN(0,ROUND($R179*EFBPercent+EFBAdd,2)-$Q179),MIN(0,SUM($CS179:CT179)+MIN(0,ROUND($R179*EFBPercent+EFBAdd,2)-$Q179))))</f>
        <v>0</v>
      </c>
      <c r="DD179" s="192">
        <f>IF(CV179&lt;0,0,MAX(-CV179,MIN(0,ROUND($R179*EFBPercent+EFBAdd,2)-$Q179),MIN(0,SUM($CS179:CU179)+MIN(0,ROUND($R179*EFBPercent+EFBAdd,2)-$Q179))))</f>
        <v>0</v>
      </c>
      <c r="DE179" s="192">
        <f>IF(CW179&lt;0,0,MAX(-CW179,MIN(0,ROUND($R179*EFBPercent+EFBAdd,2)-$Q179),MIN(0,SUM($CS179:CV179)+MIN(0,ROUND($R179*EFBPercent+EFBAdd,2)-$Q179))))</f>
        <v>0</v>
      </c>
      <c r="DF179" s="192">
        <f>IF(CX179&lt;0,0,MAX(-CX179,MIN(0,ROUND($R179*EFBPercent+EFBAdd,2)-$Q179),MIN(0,SUM($CS179:CW179)+MIN(0,ROUND($R179*EFBPercent+EFBAdd,2)-$Q179))))</f>
        <v>0</v>
      </c>
      <c r="DG179" s="116">
        <f>MAX(-CY179,MIN(0,ROUND($R179*EFBPercent+EFBAdd,2)-$Q179),MIN(0,SUM($CS179:CX179)+MIN(0,ROUND($R179*EFBPercent+EFBAdd,2)-$Q179)))</f>
        <v>0</v>
      </c>
      <c r="DI179" s="73">
        <f t="shared" si="109"/>
        <v>0</v>
      </c>
      <c r="DJ179" s="73">
        <f t="shared" si="110"/>
        <v>0</v>
      </c>
      <c r="DK179" s="73">
        <f t="shared" si="111"/>
        <v>0</v>
      </c>
      <c r="DL179" s="73">
        <f t="shared" si="112"/>
        <v>0</v>
      </c>
      <c r="DM179" s="73">
        <f t="shared" si="113"/>
        <v>0</v>
      </c>
      <c r="DN179" s="73">
        <f t="shared" si="114"/>
        <v>0</v>
      </c>
      <c r="DO179" s="73">
        <f t="shared" si="115"/>
        <v>0</v>
      </c>
      <c r="DP179" s="73"/>
      <c r="DQ179" s="73"/>
    </row>
    <row r="180" spans="1:121" ht="10.199999999999999" x14ac:dyDescent="0.2">
      <c r="A180" s="4" t="s">
        <v>800</v>
      </c>
      <c r="B180" s="72">
        <v>1125</v>
      </c>
      <c r="C180" s="13" t="s">
        <v>803</v>
      </c>
      <c r="D180" s="4">
        <v>2027</v>
      </c>
      <c r="E180" s="4" t="s">
        <v>801</v>
      </c>
      <c r="F180" s="4">
        <v>1</v>
      </c>
      <c r="G180" s="4" t="s">
        <v>675</v>
      </c>
      <c r="H180" s="4">
        <v>0</v>
      </c>
      <c r="I180" s="4" t="s">
        <v>849</v>
      </c>
      <c r="J180" s="5">
        <v>3384055.77</v>
      </c>
      <c r="K180" s="5">
        <v>349.9</v>
      </c>
      <c r="L180" s="5">
        <v>658.39</v>
      </c>
      <c r="M180" s="5">
        <v>0</v>
      </c>
      <c r="N180" s="5">
        <v>21357801</v>
      </c>
      <c r="O180" s="5">
        <v>0</v>
      </c>
      <c r="P180" s="5">
        <v>78.75</v>
      </c>
      <c r="Q180" s="5">
        <v>0</v>
      </c>
      <c r="R180" s="5">
        <v>0</v>
      </c>
      <c r="S180" s="5">
        <v>0</v>
      </c>
      <c r="T180" s="5">
        <v>0</v>
      </c>
      <c r="U180" s="5">
        <v>0</v>
      </c>
      <c r="V180" s="5">
        <v>10755.119999999999</v>
      </c>
      <c r="W180" s="5">
        <v>2593.81</v>
      </c>
      <c r="X180" s="5">
        <v>25610.44</v>
      </c>
      <c r="Y180" s="5">
        <v>1.17</v>
      </c>
      <c r="Z180" s="5">
        <v>17</v>
      </c>
      <c r="AA180" s="5">
        <v>124</v>
      </c>
      <c r="AB180" s="5">
        <v>49</v>
      </c>
      <c r="AC180" s="5">
        <v>78</v>
      </c>
      <c r="AD180" s="5">
        <v>0</v>
      </c>
      <c r="AE180" s="5">
        <v>0</v>
      </c>
      <c r="AF180" s="5">
        <v>0</v>
      </c>
      <c r="AG180" s="5">
        <v>0</v>
      </c>
      <c r="AH180" s="5">
        <v>0.308</v>
      </c>
      <c r="AI180" s="5">
        <v>1</v>
      </c>
      <c r="AJ180" s="5">
        <v>0</v>
      </c>
      <c r="AK180" s="5">
        <v>0</v>
      </c>
      <c r="AL180" s="5">
        <v>261</v>
      </c>
      <c r="AM180" s="5">
        <v>0</v>
      </c>
      <c r="AN180" s="5">
        <v>268</v>
      </c>
      <c r="AO180" s="5">
        <f t="shared" si="141"/>
        <v>0</v>
      </c>
      <c r="AP180" s="5">
        <f t="shared" ref="AP180:AP184" si="151">IF(AM180&gt;0,SUM(Z180:AD180)-AN180,0)</f>
        <v>0</v>
      </c>
      <c r="AQ180" s="5">
        <v>1.23</v>
      </c>
      <c r="AR180" s="5">
        <v>0</v>
      </c>
      <c r="AS180" s="5">
        <v>0</v>
      </c>
      <c r="AT180" s="5">
        <v>97650</v>
      </c>
      <c r="AU180" s="5">
        <v>0</v>
      </c>
      <c r="AV180" s="5">
        <v>1400</v>
      </c>
      <c r="AW180" s="5">
        <v>658.39</v>
      </c>
      <c r="AX180" s="5">
        <v>1</v>
      </c>
      <c r="AY180" s="199">
        <v>0</v>
      </c>
      <c r="AZ180" s="199">
        <v>0</v>
      </c>
      <c r="BA180" s="5">
        <v>169896.93</v>
      </c>
      <c r="BB180" s="13">
        <v>1264479.1200000001</v>
      </c>
      <c r="BC180" s="101">
        <f>MAX(ROUND(IF(F180&lt;4,IF(H180=0,(SUM(Y180:AD180)*Worksheet!$E$26+Y180*Worksheet!$E$27+AR180*Worksheet!$E$39)*-BaseRate,0)),2),MIN(0,-DI180))</f>
        <v>-277864.21000000002</v>
      </c>
      <c r="BD180" s="101">
        <f>MAX(ROUND(IF(F180=4,0,IF(I180=0,0,ROUND(SUM(Y180:AD180)*Worksheet!$E$28,2)*-BaseRate)),2),MIN(0,-DI180-BC180))</f>
        <v>-6281.82</v>
      </c>
      <c r="BE180" s="130">
        <f t="shared" si="134"/>
        <v>2514</v>
      </c>
      <c r="BF180" s="130">
        <f t="shared" si="135"/>
        <v>1405</v>
      </c>
      <c r="BG180" s="73"/>
      <c r="BH180" s="118">
        <f t="shared" si="136"/>
        <v>60508.83</v>
      </c>
      <c r="BI180" s="118">
        <f t="shared" si="137"/>
        <v>9671.49</v>
      </c>
      <c r="BJ180" s="232">
        <f>IFERROR(ROUND(IF(AND(BB180*1.12&lt;N180*60/1000,N180/CL180&lt;STVPP*0.2),(CL180*STVPP*0.2*Worksheet!$F$88/1000-BB180*1.12)*PropTaxAdj,IF(BB180*1.12&lt;N180*60/1000,(N180*60/1000-BB180*1.12)*PropTaxAdj,0)),2),0)</f>
        <v>0</v>
      </c>
      <c r="BK180" s="116">
        <f>ROUND(IF($F180=4,0,Y180*Worksheet!$E$16),2)</f>
        <v>1.17</v>
      </c>
      <c r="BL180" s="116">
        <f>ROUND(IF($F180=4,0,Z180*Worksheet!$E$17),2)</f>
        <v>17</v>
      </c>
      <c r="BM180" s="116">
        <f>ROUND(IF($F180=4,0,AA180*Worksheet!$E$18),2)</f>
        <v>124</v>
      </c>
      <c r="BN180" s="116">
        <f>ROUND(IF($F180=4,0,AB180*Worksheet!$E$19),2)</f>
        <v>49</v>
      </c>
      <c r="BO180" s="116">
        <f>ROUND(IF($F180=4,0,AC180*Worksheet!$E$20),2)</f>
        <v>78</v>
      </c>
      <c r="BP180" s="116">
        <f>ROUND(AD180*Worksheet!$E$21,2)</f>
        <v>0</v>
      </c>
      <c r="BQ180" s="116">
        <f t="shared" si="105"/>
        <v>269.17</v>
      </c>
      <c r="BR180" s="116">
        <f>ROUND(AD180*Worksheet!$E$25,2)</f>
        <v>0</v>
      </c>
      <c r="BS180" s="116">
        <f>ROUND(SUM(BQ180)*Worksheet!$E$26,2)</f>
        <v>23.69</v>
      </c>
      <c r="BT180" s="116">
        <f>ROUND(Y180*Worksheet!$E$27,2)</f>
        <v>0.2</v>
      </c>
      <c r="BU180" s="116">
        <f>ROUND(AO180*Worksheet!$E$29,2)</f>
        <v>0</v>
      </c>
      <c r="BV180" s="116">
        <f>ROUND(AP180*Worksheet!$E$30,2)</f>
        <v>0</v>
      </c>
      <c r="BW180" s="116">
        <f>ROUND(IF($I180&lt;&gt;0,$BQ180*Worksheet!$E$28,0),2)</f>
        <v>0.54</v>
      </c>
      <c r="BX180" s="116">
        <f>ROUND(AE180*Worksheet!$E$31,2)</f>
        <v>0</v>
      </c>
      <c r="BY180" s="116">
        <f>ROUND(AF180*Worksheet!$E$32,2)</f>
        <v>0</v>
      </c>
      <c r="BZ180" s="116">
        <f>ROUND(AG180*Worksheet!$E$33,2)</f>
        <v>0</v>
      </c>
      <c r="CA180" s="116">
        <f>ROUND(ROUND(AH180*BQ180,2)*Worksheet!$E$34,2)</f>
        <v>2.0699999999999998</v>
      </c>
      <c r="CB180" s="116">
        <f>ROUND(AI180*Worksheet!$E$35,2)</f>
        <v>0.2</v>
      </c>
      <c r="CC180" s="116">
        <f>ROUND(AJ180*Worksheet!$E$36,2)</f>
        <v>0</v>
      </c>
      <c r="CD180" s="116">
        <f>ROUND(AQ180*Worksheet!$E$38,2)</f>
        <v>0.74</v>
      </c>
      <c r="CE180" s="116">
        <f>ROUND(AR180*Worksheet!$E$39,2)</f>
        <v>0</v>
      </c>
      <c r="CF180" s="116">
        <f>IF(AND(L180&gt;275,SUM(Y180:AD180)&lt;100),ROUND(SUM(Y180:AD180)*Worksheet!$E$41,2),0)</f>
        <v>0</v>
      </c>
      <c r="CG180" s="116">
        <f>IF(AND(L180&gt;600,SUM(Y180:AD180)&lt;50),ROUND((50-SUM(Y180:AD180))*(Worksheet!$E$41+1),2),0)</f>
        <v>0</v>
      </c>
      <c r="CH180" s="116">
        <f t="shared" si="106"/>
        <v>296.61</v>
      </c>
      <c r="CI180" s="116">
        <f t="shared" si="142"/>
        <v>0</v>
      </c>
      <c r="CJ180" s="116">
        <f t="shared" si="143"/>
        <v>296.61</v>
      </c>
      <c r="CK180" s="95">
        <f t="shared" si="138"/>
        <v>1.19</v>
      </c>
      <c r="CL180" s="116">
        <f t="shared" si="144"/>
        <v>352.97</v>
      </c>
      <c r="CM180" s="116">
        <f t="shared" si="145"/>
        <v>352.97</v>
      </c>
      <c r="CN180" s="116">
        <f t="shared" si="139"/>
        <v>4106100.01</v>
      </c>
      <c r="CO180" s="131">
        <f>ROUND(IF(F180=4,0,(MAX(ROUND(MAX((BI180*MIN(CL180,K180)*Worksheet!$D$126)+MAX(CL180-K180,0)*Worksheet!$F$50,SUM(J180)),2),SUM(CN180))-SUM(CN180))*MinAdj),2)</f>
        <v>0</v>
      </c>
      <c r="CP180" s="116">
        <f t="shared" si="140"/>
        <v>4106100.01</v>
      </c>
      <c r="CQ180" s="131">
        <f>IF(CL180=0,0,-MIN(CP180,MIN(CP180,ROUND(IF(ROUND(IF(CL180=0,0,N180/CL180),2)&lt;STVPP*0.2,STVPP*0.2*CL180*Worksheet!$F$88/1000,N180*Worksheet!$F$88/1000),2))))</f>
        <v>-1281468.06</v>
      </c>
      <c r="CR180" s="131">
        <f>-MIN(SUM(CP180,CQ180),IF($P180=0,(ROUND(Worksheet!$E$77*S180,2)+ROUND(Worksheet!$E$78*T180,2)+ROUND(Worksheet!$E$79*U180,2)+ROUND(Worksheet!$E$80*V180,2)+ROUND(Worksheet!$E$81*W180,2)+ROUND(Worksheet!$E$82*X180,2)),(ROUND(ROUND(S180*ROUND((1-$O180/$P180),4),2)*Worksheet!$E$77,2)+ROUND(ROUND(T180*ROUND((1-$O180/$P180),4),2)*Worksheet!$E$78,2)+ROUND(ROUND(U180*ROUND((1-$O180/$P180),4),2)*Worksheet!$E$79,2)+ROUND(ROUND(V180*ROUND((1-$O180/$P180),4),2)*Worksheet!$E$80,2)+ROUND(ROUND(W180*ROUND((1-$O180/$P180),4),2)*Worksheet!$E$81,2)+ROUND(ROUND(X180*ROUND((1-$O180/$P180),4),2)*Worksheet!$E$82,2))))</f>
        <v>-29219.530000000002</v>
      </c>
      <c r="CS180" s="116">
        <f t="shared" si="107"/>
        <v>2795412.42</v>
      </c>
      <c r="CT180" s="116">
        <f>ROUND(MIN(BA180,ROUND((ROUND(AS180*Worksheet!$E$104,2)+ROUND(AV180*Worksheet!$E$107,2)+ROUND(AT180*Worksheet!$E$105,2)+ROUND(AW180*Worksheet!$E$108,2)+ROUND(AU180*Worksheet!$E$106,2)+ROUND(AX180*Worksheet!$E$109,2)+ROUND(AY180*Worksheet!$E$110,2)+ROUND(AZ180*Worksheet!$E$111,2))*Worksheet!$D$114,2))*BaseRate,2)</f>
        <v>139014.35</v>
      </c>
      <c r="CU180" s="121">
        <v>0</v>
      </c>
      <c r="CV180" s="121">
        <v>0</v>
      </c>
      <c r="CW180" s="121">
        <v>0</v>
      </c>
      <c r="CX180" s="121">
        <v>0</v>
      </c>
      <c r="CY180" s="121">
        <v>0</v>
      </c>
      <c r="DA180" s="116">
        <f t="shared" si="108"/>
        <v>0</v>
      </c>
      <c r="DB180" s="116">
        <f>MAX(-CT180,MIN(0,ROUND($R180*EFBPercent+EFBAdd,2)-$Q180),MIN(0,SUM($CS180:CS180)+MIN(0,ROUND($R180*EFBPercent+EFBAdd,2)-$Q180)))</f>
        <v>0</v>
      </c>
      <c r="DC180" s="192">
        <f>IF(CU180&lt;0,0,MAX(-CU180,MIN(0,ROUND($R180*EFBPercent+EFBAdd,2)-$Q180),MIN(0,SUM($CS180:CT180)+MIN(0,ROUND($R180*EFBPercent+EFBAdd,2)-$Q180))))</f>
        <v>0</v>
      </c>
      <c r="DD180" s="192">
        <f>IF(CV180&lt;0,0,MAX(-CV180,MIN(0,ROUND($R180*EFBPercent+EFBAdd,2)-$Q180),MIN(0,SUM($CS180:CU180)+MIN(0,ROUND($R180*EFBPercent+EFBAdd,2)-$Q180))))</f>
        <v>0</v>
      </c>
      <c r="DE180" s="192">
        <f>IF(CW180&lt;0,0,MAX(-CW180,MIN(0,ROUND($R180*EFBPercent+EFBAdd,2)-$Q180),MIN(0,SUM($CS180:CV180)+MIN(0,ROUND($R180*EFBPercent+EFBAdd,2)-$Q180))))</f>
        <v>0</v>
      </c>
      <c r="DF180" s="192">
        <f>IF(CX180&lt;0,0,MAX(-CX180,MIN(0,ROUND($R180*EFBPercent+EFBAdd,2)-$Q180),MIN(0,SUM($CS180:CW180)+MIN(0,ROUND($R180*EFBPercent+EFBAdd,2)-$Q180))))</f>
        <v>0</v>
      </c>
      <c r="DG180" s="116">
        <f>MAX(-CY180,MIN(0,ROUND($R180*EFBPercent+EFBAdd,2)-$Q180),MIN(0,SUM($CS180:CX180)+MIN(0,ROUND($R180*EFBPercent+EFBAdd,2)-$Q180)))</f>
        <v>0</v>
      </c>
      <c r="DI180" s="73">
        <f t="shared" si="109"/>
        <v>2795412.42</v>
      </c>
      <c r="DJ180" s="73">
        <f t="shared" si="110"/>
        <v>139014.35</v>
      </c>
      <c r="DK180" s="73">
        <f t="shared" si="111"/>
        <v>0</v>
      </c>
      <c r="DL180" s="73">
        <f t="shared" si="112"/>
        <v>0</v>
      </c>
      <c r="DM180" s="73">
        <f t="shared" si="113"/>
        <v>0</v>
      </c>
      <c r="DN180" s="73">
        <f t="shared" si="114"/>
        <v>0</v>
      </c>
      <c r="DO180" s="73">
        <f t="shared" si="115"/>
        <v>0</v>
      </c>
      <c r="DP180" s="73"/>
      <c r="DQ180" s="73"/>
    </row>
    <row r="181" spans="1:121" ht="10.199999999999999" x14ac:dyDescent="0.2">
      <c r="A181" s="4" t="s">
        <v>637</v>
      </c>
      <c r="B181" s="72">
        <v>1023</v>
      </c>
      <c r="C181" s="13" t="s">
        <v>159</v>
      </c>
      <c r="D181" s="4">
        <v>2027</v>
      </c>
      <c r="E181" s="4" t="s">
        <v>472</v>
      </c>
      <c r="F181" s="4">
        <v>1</v>
      </c>
      <c r="G181" s="4" t="s">
        <v>682</v>
      </c>
      <c r="H181" s="4">
        <v>0</v>
      </c>
      <c r="I181" s="4" t="s">
        <v>854</v>
      </c>
      <c r="J181" s="5">
        <v>2678112.6</v>
      </c>
      <c r="K181" s="5">
        <v>273.64</v>
      </c>
      <c r="L181" s="5">
        <v>243</v>
      </c>
      <c r="M181" s="5">
        <v>0</v>
      </c>
      <c r="N181" s="5">
        <v>17710253</v>
      </c>
      <c r="O181" s="5">
        <v>0</v>
      </c>
      <c r="P181" s="5">
        <v>63</v>
      </c>
      <c r="Q181" s="5">
        <v>0</v>
      </c>
      <c r="R181" s="5">
        <v>0</v>
      </c>
      <c r="S181" s="5">
        <v>0</v>
      </c>
      <c r="T181" s="5">
        <v>0</v>
      </c>
      <c r="U181" s="5">
        <v>0</v>
      </c>
      <c r="V181" s="5">
        <v>10217.49</v>
      </c>
      <c r="W181" s="5">
        <v>163.41</v>
      </c>
      <c r="X181" s="5">
        <v>19694.39</v>
      </c>
      <c r="Y181" s="5">
        <v>0.46</v>
      </c>
      <c r="Z181" s="5">
        <v>15</v>
      </c>
      <c r="AA181" s="5">
        <v>92</v>
      </c>
      <c r="AB181" s="5">
        <v>35</v>
      </c>
      <c r="AC181" s="5">
        <v>60</v>
      </c>
      <c r="AD181" s="5">
        <v>0</v>
      </c>
      <c r="AE181" s="5">
        <v>0</v>
      </c>
      <c r="AF181" s="5">
        <v>0</v>
      </c>
      <c r="AG181" s="5">
        <v>0</v>
      </c>
      <c r="AH181" s="5">
        <v>0.19800000000000001</v>
      </c>
      <c r="AI181" s="5">
        <v>0</v>
      </c>
      <c r="AJ181" s="5">
        <v>0</v>
      </c>
      <c r="AK181" s="5">
        <v>0</v>
      </c>
      <c r="AL181" s="5">
        <v>199.42000000000002</v>
      </c>
      <c r="AM181" s="5">
        <v>0</v>
      </c>
      <c r="AN181" s="5">
        <v>195</v>
      </c>
      <c r="AO181" s="5">
        <f t="shared" si="141"/>
        <v>0</v>
      </c>
      <c r="AP181" s="5">
        <f t="shared" si="151"/>
        <v>0</v>
      </c>
      <c r="AQ181" s="5">
        <v>0.61</v>
      </c>
      <c r="AR181" s="5">
        <v>0</v>
      </c>
      <c r="AS181" s="5">
        <v>0</v>
      </c>
      <c r="AT181" s="5">
        <v>69600</v>
      </c>
      <c r="AU181" s="5">
        <v>0</v>
      </c>
      <c r="AV181" s="5">
        <v>1392</v>
      </c>
      <c r="AW181" s="5">
        <v>243</v>
      </c>
      <c r="AX181" s="5">
        <v>1</v>
      </c>
      <c r="AY181" s="199">
        <v>0</v>
      </c>
      <c r="AZ181" s="199">
        <v>0</v>
      </c>
      <c r="BA181" s="5">
        <v>206288.85</v>
      </c>
      <c r="BB181" s="13">
        <v>1042893</v>
      </c>
      <c r="BC181" s="101">
        <f>MAX(ROUND(IF(F181&lt;4,IF(H181=0,(SUM(Y181:AD181)*Worksheet!$E$26+Y181*Worksheet!$E$27+AR181*Worksheet!$E$39)*-BaseRate,0)),2),MIN(0,-DI181))</f>
        <v>-208168.81</v>
      </c>
      <c r="BD181" s="101">
        <f>MAX(ROUND(IF(F181=4,0,IF(I181=0,0,ROUND(SUM(Y181:AD181)*Worksheet!$E$28,2)*-BaseRate)),2),MIN(0,-DI181-BC181))</f>
        <v>-4653.2</v>
      </c>
      <c r="BE181" s="130">
        <f t="shared" si="134"/>
        <v>2511</v>
      </c>
      <c r="BF181" s="130">
        <f t="shared" si="135"/>
        <v>1406</v>
      </c>
      <c r="BG181" s="73"/>
      <c r="BH181" s="118">
        <f t="shared" si="136"/>
        <v>62567.13</v>
      </c>
      <c r="BI181" s="118">
        <f t="shared" si="137"/>
        <v>9786.99</v>
      </c>
      <c r="BJ181" s="232">
        <f>IFERROR(ROUND(IF(AND(BB181*1.12&lt;N181*60/1000,N181/CL181&lt;STVPP*0.2),(CL181*STVPP*0.2*Worksheet!$F$88/1000-BB181*1.12)*PropTaxAdj,IF(BB181*1.12&lt;N181*60/1000,(N181*60/1000-BB181*1.12)*PropTaxAdj,0)),2),0)</f>
        <v>0</v>
      </c>
      <c r="BK181" s="116">
        <f>ROUND(IF($F181=4,0,Y181*Worksheet!$E$16),2)</f>
        <v>0.46</v>
      </c>
      <c r="BL181" s="116">
        <f>ROUND(IF($F181=4,0,Z181*Worksheet!$E$17),2)</f>
        <v>15</v>
      </c>
      <c r="BM181" s="116">
        <f>ROUND(IF($F181=4,0,AA181*Worksheet!$E$18),2)</f>
        <v>92</v>
      </c>
      <c r="BN181" s="116">
        <f>ROUND(IF($F181=4,0,AB181*Worksheet!$E$19),2)</f>
        <v>35</v>
      </c>
      <c r="BO181" s="116">
        <f>ROUND(IF($F181=4,0,AC181*Worksheet!$E$20),2)</f>
        <v>60</v>
      </c>
      <c r="BP181" s="116">
        <f>ROUND(AD181*Worksheet!$E$21,2)</f>
        <v>0</v>
      </c>
      <c r="BQ181" s="116">
        <f t="shared" si="105"/>
        <v>202.46</v>
      </c>
      <c r="BR181" s="116">
        <f>ROUND(AD181*Worksheet!$E$25,2)</f>
        <v>0</v>
      </c>
      <c r="BS181" s="116">
        <f>ROUND(SUM(BQ181)*Worksheet!$E$26,2)</f>
        <v>17.82</v>
      </c>
      <c r="BT181" s="116">
        <f>ROUND(Y181*Worksheet!$E$27,2)</f>
        <v>0.08</v>
      </c>
      <c r="BU181" s="116">
        <f>ROUND(AO181*Worksheet!$E$29,2)</f>
        <v>0</v>
      </c>
      <c r="BV181" s="116">
        <f>ROUND(AP181*Worksheet!$E$30,2)</f>
        <v>0</v>
      </c>
      <c r="BW181" s="116">
        <f>ROUND(IF($I181&lt;&gt;0,$BQ181*Worksheet!$E$28,0),2)</f>
        <v>0.4</v>
      </c>
      <c r="BX181" s="116">
        <f>ROUND(AE181*Worksheet!$E$31,2)</f>
        <v>0</v>
      </c>
      <c r="BY181" s="116">
        <f>ROUND(AF181*Worksheet!$E$32,2)</f>
        <v>0</v>
      </c>
      <c r="BZ181" s="116">
        <f>ROUND(AG181*Worksheet!$E$33,2)</f>
        <v>0</v>
      </c>
      <c r="CA181" s="116">
        <f>ROUND(ROUND(AH181*BQ181,2)*Worksheet!$E$34,2)</f>
        <v>1</v>
      </c>
      <c r="CB181" s="116">
        <f>ROUND(AI181*Worksheet!$E$35,2)</f>
        <v>0</v>
      </c>
      <c r="CC181" s="116">
        <f>ROUND(AJ181*Worksheet!$E$36,2)</f>
        <v>0</v>
      </c>
      <c r="CD181" s="116">
        <f>ROUND(AQ181*Worksheet!$E$38,2)</f>
        <v>0.37</v>
      </c>
      <c r="CE181" s="116">
        <f>ROUND(AR181*Worksheet!$E$39,2)</f>
        <v>0</v>
      </c>
      <c r="CF181" s="116">
        <f>IF(AND(L181&gt;275,SUM(Y181:AD181)&lt;100),ROUND(SUM(Y181:AD181)*Worksheet!$E$41,2),0)</f>
        <v>0</v>
      </c>
      <c r="CG181" s="116">
        <f>IF(AND(L181&gt;600,SUM(Y181:AD181)&lt;50),ROUND((50-SUM(Y181:AD181))*(Worksheet!$E$41+1),2),0)</f>
        <v>0</v>
      </c>
      <c r="CH181" s="116">
        <f t="shared" si="106"/>
        <v>222.13000000000002</v>
      </c>
      <c r="CI181" s="116">
        <f t="shared" si="142"/>
        <v>0</v>
      </c>
      <c r="CJ181" s="116">
        <f t="shared" si="143"/>
        <v>222.13000000000002</v>
      </c>
      <c r="CK181" s="95">
        <f t="shared" si="138"/>
        <v>1.2743</v>
      </c>
      <c r="CL181" s="116">
        <f t="shared" si="144"/>
        <v>283.06</v>
      </c>
      <c r="CM181" s="116">
        <f t="shared" si="145"/>
        <v>283.06</v>
      </c>
      <c r="CN181" s="116">
        <f t="shared" si="139"/>
        <v>3292836.98</v>
      </c>
      <c r="CO181" s="131">
        <f>ROUND(IF(F181=4,0,(MAX(ROUND(MAX((BI181*MIN(CL181,K181)*Worksheet!$D$126)+MAX(CL181-K181,0)*Worksheet!$F$50,SUM(J181)),2),SUM(CN181))-SUM(CN181))*MinAdj),2)</f>
        <v>0</v>
      </c>
      <c r="CP181" s="116">
        <f t="shared" si="140"/>
        <v>3292836.98</v>
      </c>
      <c r="CQ181" s="131">
        <f>IF(CL181=0,0,-MIN(CP181,MIN(CP181,ROUND(IF(ROUND(IF(CL181=0,0,N181/CL181),2)&lt;STVPP*0.2,STVPP*0.2*CL181*Worksheet!$F$88/1000,N181*Worksheet!$F$88/1000),2))))</f>
        <v>-1062615.18</v>
      </c>
      <c r="CR181" s="131">
        <f>-MIN(SUM(CP181,CQ181),IF($P181=0,(ROUND(Worksheet!$E$77*S181,2)+ROUND(Worksheet!$E$78*T181,2)+ROUND(Worksheet!$E$79*U181,2)+ROUND(Worksheet!$E$80*V181,2)+ROUND(Worksheet!$E$81*W181,2)+ROUND(Worksheet!$E$82*X181,2)),(ROUND(ROUND(S181*ROUND((1-$O181/$P181),4),2)*Worksheet!$E$77,2)+ROUND(ROUND(T181*ROUND((1-$O181/$P181),4),2)*Worksheet!$E$78,2)+ROUND(ROUND(U181*ROUND((1-$O181/$P181),4),2)*Worksheet!$E$79,2)+ROUND(ROUND(V181*ROUND((1-$O181/$P181),4),2)*Worksheet!$E$80,2)+ROUND(ROUND(W181*ROUND((1-$O181/$P181),4),2)*Worksheet!$E$81,2)+ROUND(ROUND(X181*ROUND((1-$O181/$P181),4),2)*Worksheet!$E$82,2))))</f>
        <v>-22556.47</v>
      </c>
      <c r="CS181" s="116">
        <f t="shared" si="107"/>
        <v>2207665.3299999996</v>
      </c>
      <c r="CT181" s="116">
        <f>ROUND(MIN(BA181,ROUND((ROUND(AS181*Worksheet!$E$104,2)+ROUND(AV181*Worksheet!$E$107,2)+ROUND(AT181*Worksheet!$E$105,2)+ROUND(AW181*Worksheet!$E$108,2)+ROUND(AU181*Worksheet!$E$106,2)+ROUND(AX181*Worksheet!$E$109,2)+ROUND(AY181*Worksheet!$E$110,2)+ROUND(AZ181*Worksheet!$E$111,2))*Worksheet!$D$114,2))*BaseRate,2)</f>
        <v>100974.44</v>
      </c>
      <c r="CU181" s="121">
        <v>0</v>
      </c>
      <c r="CV181" s="121">
        <v>0</v>
      </c>
      <c r="CW181" s="121">
        <v>0</v>
      </c>
      <c r="CX181" s="121">
        <v>0</v>
      </c>
      <c r="CY181" s="121">
        <v>0</v>
      </c>
      <c r="DA181" s="116">
        <f t="shared" si="108"/>
        <v>0</v>
      </c>
      <c r="DB181" s="116">
        <f>MAX(-CT181,MIN(0,ROUND($R181*EFBPercent+EFBAdd,2)-$Q181),MIN(0,SUM($CS181:CS181)+MIN(0,ROUND($R181*EFBPercent+EFBAdd,2)-$Q181)))</f>
        <v>0</v>
      </c>
      <c r="DC181" s="192">
        <f>IF(CU181&lt;0,0,MAX(-CU181,MIN(0,ROUND($R181*EFBPercent+EFBAdd,2)-$Q181),MIN(0,SUM($CS181:CT181)+MIN(0,ROUND($R181*EFBPercent+EFBAdd,2)-$Q181))))</f>
        <v>0</v>
      </c>
      <c r="DD181" s="192">
        <f>IF(CV181&lt;0,0,MAX(-CV181,MIN(0,ROUND($R181*EFBPercent+EFBAdd,2)-$Q181),MIN(0,SUM($CS181:CU181)+MIN(0,ROUND($R181*EFBPercent+EFBAdd,2)-$Q181))))</f>
        <v>0</v>
      </c>
      <c r="DE181" s="192">
        <f>IF(CW181&lt;0,0,MAX(-CW181,MIN(0,ROUND($R181*EFBPercent+EFBAdd,2)-$Q181),MIN(0,SUM($CS181:CV181)+MIN(0,ROUND($R181*EFBPercent+EFBAdd,2)-$Q181))))</f>
        <v>0</v>
      </c>
      <c r="DF181" s="192">
        <f>IF(CX181&lt;0,0,MAX(-CX181,MIN(0,ROUND($R181*EFBPercent+EFBAdd,2)-$Q181),MIN(0,SUM($CS181:CW181)+MIN(0,ROUND($R181*EFBPercent+EFBAdd,2)-$Q181))))</f>
        <v>0</v>
      </c>
      <c r="DG181" s="116">
        <f>MAX(-CY181,MIN(0,ROUND($R181*EFBPercent+EFBAdd,2)-$Q181),MIN(0,SUM($CS181:CX181)+MIN(0,ROUND($R181*EFBPercent+EFBAdd,2)-$Q181)))</f>
        <v>0</v>
      </c>
      <c r="DI181" s="73">
        <f t="shared" si="109"/>
        <v>2207665.3299999996</v>
      </c>
      <c r="DJ181" s="73">
        <f t="shared" si="110"/>
        <v>100974.44</v>
      </c>
      <c r="DK181" s="73">
        <f t="shared" si="111"/>
        <v>0</v>
      </c>
      <c r="DL181" s="73">
        <f t="shared" si="112"/>
        <v>0</v>
      </c>
      <c r="DM181" s="73">
        <f t="shared" si="113"/>
        <v>0</v>
      </c>
      <c r="DN181" s="73">
        <f t="shared" si="114"/>
        <v>0</v>
      </c>
      <c r="DO181" s="73">
        <f t="shared" si="115"/>
        <v>0</v>
      </c>
      <c r="DP181" s="73"/>
      <c r="DQ181" s="73"/>
    </row>
    <row r="182" spans="1:121" ht="10.199999999999999" x14ac:dyDescent="0.2">
      <c r="A182" s="4" t="s">
        <v>638</v>
      </c>
      <c r="B182" s="72">
        <v>1061</v>
      </c>
      <c r="C182" s="13" t="s">
        <v>160</v>
      </c>
      <c r="D182" s="4">
        <v>2027</v>
      </c>
      <c r="E182" s="4" t="s">
        <v>1060</v>
      </c>
      <c r="F182" s="4">
        <v>1</v>
      </c>
      <c r="G182" s="4" t="s">
        <v>682</v>
      </c>
      <c r="H182" s="4">
        <v>0</v>
      </c>
      <c r="I182" s="4" t="s">
        <v>854</v>
      </c>
      <c r="J182" s="5">
        <v>2359025.7599999998</v>
      </c>
      <c r="K182" s="5">
        <v>244.56</v>
      </c>
      <c r="L182" s="5">
        <v>153</v>
      </c>
      <c r="M182" s="5">
        <v>0</v>
      </c>
      <c r="N182" s="5">
        <v>11352177</v>
      </c>
      <c r="O182" s="5">
        <v>37.67</v>
      </c>
      <c r="P182" s="5">
        <v>122.67</v>
      </c>
      <c r="Q182" s="5">
        <v>0</v>
      </c>
      <c r="R182" s="5">
        <v>0</v>
      </c>
      <c r="S182" s="5">
        <v>3000</v>
      </c>
      <c r="T182" s="5">
        <v>0</v>
      </c>
      <c r="U182" s="5">
        <v>0</v>
      </c>
      <c r="V182" s="5">
        <v>9934.32</v>
      </c>
      <c r="W182" s="5">
        <v>1417.17</v>
      </c>
      <c r="X182" s="5">
        <v>19540.47</v>
      </c>
      <c r="Y182" s="5">
        <v>7.0000000000000007E-2</v>
      </c>
      <c r="Z182" s="5">
        <v>9</v>
      </c>
      <c r="AA182" s="5">
        <v>64</v>
      </c>
      <c r="AB182" s="5">
        <v>24</v>
      </c>
      <c r="AC182" s="5">
        <v>52</v>
      </c>
      <c r="AD182" s="5">
        <v>0</v>
      </c>
      <c r="AE182" s="5">
        <v>0</v>
      </c>
      <c r="AF182" s="5">
        <v>0</v>
      </c>
      <c r="AG182" s="5">
        <v>2</v>
      </c>
      <c r="AH182" s="5">
        <v>0.26400000000000001</v>
      </c>
      <c r="AI182" s="5">
        <v>1</v>
      </c>
      <c r="AJ182" s="5">
        <v>0</v>
      </c>
      <c r="AK182" s="5">
        <v>0</v>
      </c>
      <c r="AL182" s="5">
        <v>147.69999999999999</v>
      </c>
      <c r="AM182" s="5">
        <v>0</v>
      </c>
      <c r="AN182" s="5">
        <v>149</v>
      </c>
      <c r="AO182" s="5">
        <f t="shared" si="141"/>
        <v>0</v>
      </c>
      <c r="AP182" s="5">
        <f t="shared" si="151"/>
        <v>0</v>
      </c>
      <c r="AQ182" s="5">
        <v>2.31</v>
      </c>
      <c r="AR182" s="5">
        <v>0.02</v>
      </c>
      <c r="AS182" s="5">
        <v>0</v>
      </c>
      <c r="AT182" s="5">
        <v>31150</v>
      </c>
      <c r="AU182" s="5">
        <v>0</v>
      </c>
      <c r="AV182" s="5">
        <v>700</v>
      </c>
      <c r="AW182" s="5">
        <v>153</v>
      </c>
      <c r="AX182" s="5">
        <v>1</v>
      </c>
      <c r="AY182" s="199">
        <v>0</v>
      </c>
      <c r="AZ182" s="199">
        <v>0</v>
      </c>
      <c r="BA182" s="5">
        <v>80090.87</v>
      </c>
      <c r="BB182" s="13">
        <v>661703.4</v>
      </c>
      <c r="BC182" s="101">
        <f>MAX(ROUND(IF(F182&lt;4,IF(H182=0,(SUM(Y182:AD182)*Worksheet!$E$26+Y182*Worksheet!$E$27+AR182*Worksheet!$E$39)*-BaseRate,0)),2),MIN(0,-DI182))</f>
        <v>-152974.65</v>
      </c>
      <c r="BD182" s="101">
        <f>MAX(ROUND(IF(F182=4,0,IF(I182=0,0,ROUND(SUM(Y182:AD182)*Worksheet!$E$28,2)*-BaseRate)),2),MIN(0,-DI182-BC182))</f>
        <v>-3489.9</v>
      </c>
      <c r="BE182" s="130">
        <f t="shared" si="134"/>
        <v>2511</v>
      </c>
      <c r="BF182" s="130">
        <f t="shared" si="135"/>
        <v>1406</v>
      </c>
      <c r="BG182" s="73"/>
      <c r="BH182" s="118">
        <f t="shared" si="136"/>
        <v>47057.61</v>
      </c>
      <c r="BI182" s="118">
        <f t="shared" si="137"/>
        <v>9646</v>
      </c>
      <c r="BJ182" s="232">
        <f>IFERROR(ROUND(IF(AND(BB182*1.12&lt;N182*60/1000,N182/CL182&lt;STVPP*0.2),(CL182*STVPP*0.2*Worksheet!$F$88/1000-BB182*1.12)*PropTaxAdj,IF(BB182*1.12&lt;N182*60/1000,(N182*60/1000-BB182*1.12)*PropTaxAdj,0)),2),0)</f>
        <v>0</v>
      </c>
      <c r="BK182" s="116">
        <f>ROUND(IF($F182=4,0,Y182*Worksheet!$E$16),2)</f>
        <v>7.0000000000000007E-2</v>
      </c>
      <c r="BL182" s="116">
        <f>ROUND(IF($F182=4,0,Z182*Worksheet!$E$17),2)</f>
        <v>9</v>
      </c>
      <c r="BM182" s="116">
        <f>ROUND(IF($F182=4,0,AA182*Worksheet!$E$18),2)</f>
        <v>64</v>
      </c>
      <c r="BN182" s="116">
        <f>ROUND(IF($F182=4,0,AB182*Worksheet!$E$19),2)</f>
        <v>24</v>
      </c>
      <c r="BO182" s="116">
        <f>ROUND(IF($F182=4,0,AC182*Worksheet!$E$20),2)</f>
        <v>52</v>
      </c>
      <c r="BP182" s="116">
        <f>ROUND(AD182*Worksheet!$E$21,2)</f>
        <v>0</v>
      </c>
      <c r="BQ182" s="116">
        <f t="shared" si="105"/>
        <v>149.07</v>
      </c>
      <c r="BR182" s="116">
        <f>ROUND(AD182*Worksheet!$E$25,2)</f>
        <v>0</v>
      </c>
      <c r="BS182" s="116">
        <f>ROUND(SUM(BQ182)*Worksheet!$E$26,2)</f>
        <v>13.12</v>
      </c>
      <c r="BT182" s="116">
        <f>ROUND(Y182*Worksheet!$E$27,2)</f>
        <v>0.01</v>
      </c>
      <c r="BU182" s="116">
        <f>ROUND(AO182*Worksheet!$E$29,2)</f>
        <v>0</v>
      </c>
      <c r="BV182" s="116">
        <f>ROUND(AP182*Worksheet!$E$30,2)</f>
        <v>0</v>
      </c>
      <c r="BW182" s="116">
        <f>ROUND(IF($I182&lt;&gt;0,$BQ182*Worksheet!$E$28,0),2)</f>
        <v>0.3</v>
      </c>
      <c r="BX182" s="116">
        <f>ROUND(AE182*Worksheet!$E$31,2)</f>
        <v>0</v>
      </c>
      <c r="BY182" s="116">
        <f>ROUND(AF182*Worksheet!$E$32,2)</f>
        <v>0</v>
      </c>
      <c r="BZ182" s="116">
        <f>ROUND(AG182*Worksheet!$E$33,2)</f>
        <v>0.14000000000000001</v>
      </c>
      <c r="CA182" s="116">
        <f>ROUND(ROUND(AH182*BQ182,2)*Worksheet!$E$34,2)</f>
        <v>0.98</v>
      </c>
      <c r="CB182" s="116">
        <f>ROUND(AI182*Worksheet!$E$35,2)</f>
        <v>0.2</v>
      </c>
      <c r="CC182" s="116">
        <f>ROUND(AJ182*Worksheet!$E$36,2)</f>
        <v>0</v>
      </c>
      <c r="CD182" s="116">
        <f>ROUND(AQ182*Worksheet!$E$38,2)</f>
        <v>1.39</v>
      </c>
      <c r="CE182" s="116">
        <f>ROUND(AR182*Worksheet!$E$39,2)</f>
        <v>0.02</v>
      </c>
      <c r="CF182" s="116">
        <f>IF(AND(L182&gt;275,SUM(Y182:AD182)&lt;100),ROUND(SUM(Y182:AD182)*Worksheet!$E$41,2),0)</f>
        <v>0</v>
      </c>
      <c r="CG182" s="116">
        <f>IF(AND(L182&gt;600,SUM(Y182:AD182)&lt;50),ROUND((50-SUM(Y182:AD182))*(Worksheet!$E$41+1),2),0)</f>
        <v>0</v>
      </c>
      <c r="CH182" s="116">
        <f t="shared" si="106"/>
        <v>165.22999999999996</v>
      </c>
      <c r="CI182" s="116">
        <f t="shared" si="142"/>
        <v>0</v>
      </c>
      <c r="CJ182" s="116">
        <f t="shared" si="143"/>
        <v>165.22999999999996</v>
      </c>
      <c r="CK182" s="95">
        <f t="shared" si="138"/>
        <v>1.46</v>
      </c>
      <c r="CL182" s="116">
        <f t="shared" si="144"/>
        <v>241.24</v>
      </c>
      <c r="CM182" s="116">
        <f t="shared" si="145"/>
        <v>241.24</v>
      </c>
      <c r="CN182" s="116">
        <f t="shared" si="139"/>
        <v>2806344.92</v>
      </c>
      <c r="CO182" s="131">
        <f>ROUND(IF(F182=4,0,(MAX(ROUND(MAX((BI182*MIN(CL182,K182)*Worksheet!$D$126)+MAX(CL182-K182,0)*Worksheet!$F$50,SUM(J182)),2),SUM(CN182))-SUM(CN182))*MinAdj),2)</f>
        <v>0</v>
      </c>
      <c r="CP182" s="116">
        <f t="shared" si="140"/>
        <v>2806344.92</v>
      </c>
      <c r="CQ182" s="131">
        <f>IF(CL182=0,0,-MIN(CP182,MIN(CP182,ROUND(IF(ROUND(IF(CL182=0,0,N182/CL182),2)&lt;STVPP*0.2,STVPP*0.2*CL182*Worksheet!$F$88/1000,N182*Worksheet!$F$88/1000),2))))</f>
        <v>-681130.62</v>
      </c>
      <c r="CR182" s="131">
        <f>-MIN(SUM(CP182,CQ182),IF($P182=0,(ROUND(Worksheet!$E$77*S182,2)+ROUND(Worksheet!$E$78*T182,2)+ROUND(Worksheet!$E$79*U182,2)+ROUND(Worksheet!$E$80*V182,2)+ROUND(Worksheet!$E$81*W182,2)+ROUND(Worksheet!$E$82*X182,2)),(ROUND(ROUND(S182*ROUND((1-$O182/$P182),4),2)*Worksheet!$E$77,2)+ROUND(ROUND(T182*ROUND((1-$O182/$P182),4),2)*Worksheet!$E$78,2)+ROUND(ROUND(U182*ROUND((1-$O182/$P182),4),2)*Worksheet!$E$79,2)+ROUND(ROUND(V182*ROUND((1-$O182/$P182),4),2)*Worksheet!$E$80,2)+ROUND(ROUND(W182*ROUND((1-$O182/$P182),4),2)*Worksheet!$E$81,2)+ROUND(ROUND(X182*ROUND((1-$O182/$P182),4),2)*Worksheet!$E$82,2))))</f>
        <v>-17612.810000000001</v>
      </c>
      <c r="CS182" s="116">
        <f t="shared" si="107"/>
        <v>2107601.4899999998</v>
      </c>
      <c r="CT182" s="116">
        <f>ROUND(MIN(BA182,ROUND((ROUND(AS182*Worksheet!$E$104,2)+ROUND(AV182*Worksheet!$E$107,2)+ROUND(AT182*Worksheet!$E$105,2)+ROUND(AW182*Worksheet!$E$108,2)+ROUND(AU182*Worksheet!$E$106,2)+ROUND(AX182*Worksheet!$E$109,2)+ROUND(AY182*Worksheet!$E$110,2)+ROUND(AZ182*Worksheet!$E$111,2))*Worksheet!$D$114,2))*BaseRate,2)</f>
        <v>47811.63</v>
      </c>
      <c r="CU182" s="121">
        <v>0</v>
      </c>
      <c r="CV182" s="121">
        <v>0</v>
      </c>
      <c r="CW182" s="121">
        <v>0</v>
      </c>
      <c r="CX182" s="121">
        <v>0</v>
      </c>
      <c r="CY182" s="121">
        <v>0</v>
      </c>
      <c r="DA182" s="116">
        <f t="shared" si="108"/>
        <v>0</v>
      </c>
      <c r="DB182" s="116">
        <f>MAX(-CT182,MIN(0,ROUND($R182*EFBPercent+EFBAdd,2)-$Q182),MIN(0,SUM($CS182:CS182)+MIN(0,ROUND($R182*EFBPercent+EFBAdd,2)-$Q182)))</f>
        <v>0</v>
      </c>
      <c r="DC182" s="192">
        <f>IF(CU182&lt;0,0,MAX(-CU182,MIN(0,ROUND($R182*EFBPercent+EFBAdd,2)-$Q182),MIN(0,SUM($CS182:CT182)+MIN(0,ROUND($R182*EFBPercent+EFBAdd,2)-$Q182))))</f>
        <v>0</v>
      </c>
      <c r="DD182" s="192">
        <f>IF(CV182&lt;0,0,MAX(-CV182,MIN(0,ROUND($R182*EFBPercent+EFBAdd,2)-$Q182),MIN(0,SUM($CS182:CU182)+MIN(0,ROUND($R182*EFBPercent+EFBAdd,2)-$Q182))))</f>
        <v>0</v>
      </c>
      <c r="DE182" s="192">
        <f>IF(CW182&lt;0,0,MAX(-CW182,MIN(0,ROUND($R182*EFBPercent+EFBAdd,2)-$Q182),MIN(0,SUM($CS182:CV182)+MIN(0,ROUND($R182*EFBPercent+EFBAdd,2)-$Q182))))</f>
        <v>0</v>
      </c>
      <c r="DF182" s="192">
        <f>IF(CX182&lt;0,0,MAX(-CX182,MIN(0,ROUND($R182*EFBPercent+EFBAdd,2)-$Q182),MIN(0,SUM($CS182:CW182)+MIN(0,ROUND($R182*EFBPercent+EFBAdd,2)-$Q182))))</f>
        <v>0</v>
      </c>
      <c r="DG182" s="116">
        <f>MAX(-CY182,MIN(0,ROUND($R182*EFBPercent+EFBAdd,2)-$Q182),MIN(0,SUM($CS182:CX182)+MIN(0,ROUND($R182*EFBPercent+EFBAdd,2)-$Q182)))</f>
        <v>0</v>
      </c>
      <c r="DI182" s="73">
        <f t="shared" si="109"/>
        <v>2107601.4899999998</v>
      </c>
      <c r="DJ182" s="73">
        <f t="shared" si="110"/>
        <v>47811.63</v>
      </c>
      <c r="DK182" s="73">
        <f t="shared" si="111"/>
        <v>0</v>
      </c>
      <c r="DL182" s="73">
        <f t="shared" si="112"/>
        <v>0</v>
      </c>
      <c r="DM182" s="73">
        <f t="shared" si="113"/>
        <v>0</v>
      </c>
      <c r="DN182" s="73">
        <f t="shared" si="114"/>
        <v>0</v>
      </c>
      <c r="DO182" s="73">
        <f t="shared" si="115"/>
        <v>0</v>
      </c>
      <c r="DP182" s="73"/>
      <c r="DQ182" s="73"/>
    </row>
    <row r="183" spans="1:121" ht="10.199999999999999" x14ac:dyDescent="0.2">
      <c r="A183" s="4" t="s">
        <v>639</v>
      </c>
      <c r="B183" s="72">
        <v>1066</v>
      </c>
      <c r="C183" s="13" t="s">
        <v>161</v>
      </c>
      <c r="D183" s="4">
        <v>2027</v>
      </c>
      <c r="E183" s="4" t="s">
        <v>473</v>
      </c>
      <c r="F183" s="4">
        <v>1</v>
      </c>
      <c r="G183" s="4" t="s">
        <v>682</v>
      </c>
      <c r="H183" s="4">
        <v>0</v>
      </c>
      <c r="I183" s="4" t="s">
        <v>854</v>
      </c>
      <c r="J183" s="5">
        <v>5590059.8200000003</v>
      </c>
      <c r="K183" s="5">
        <v>536.35</v>
      </c>
      <c r="L183" s="5">
        <v>278</v>
      </c>
      <c r="M183" s="5">
        <v>0</v>
      </c>
      <c r="N183" s="5">
        <v>27051036</v>
      </c>
      <c r="O183" s="5">
        <v>7</v>
      </c>
      <c r="P183" s="5">
        <v>94</v>
      </c>
      <c r="Q183" s="5">
        <v>0</v>
      </c>
      <c r="R183" s="5">
        <v>0</v>
      </c>
      <c r="S183" s="5">
        <v>0</v>
      </c>
      <c r="T183" s="5">
        <v>0</v>
      </c>
      <c r="U183" s="5">
        <v>0</v>
      </c>
      <c r="V183" s="5">
        <v>21588.48</v>
      </c>
      <c r="W183" s="5">
        <v>0</v>
      </c>
      <c r="X183" s="5">
        <v>33397.300000000003</v>
      </c>
      <c r="Y183" s="5">
        <v>0.94</v>
      </c>
      <c r="Z183" s="5">
        <v>37</v>
      </c>
      <c r="AA183" s="5">
        <v>218</v>
      </c>
      <c r="AB183" s="5">
        <v>73</v>
      </c>
      <c r="AC183" s="5">
        <v>149</v>
      </c>
      <c r="AD183" s="5">
        <v>0</v>
      </c>
      <c r="AE183" s="5">
        <v>1</v>
      </c>
      <c r="AF183" s="5">
        <v>1</v>
      </c>
      <c r="AG183" s="5">
        <v>6</v>
      </c>
      <c r="AH183" s="5">
        <v>0.27</v>
      </c>
      <c r="AI183" s="5">
        <v>0</v>
      </c>
      <c r="AJ183" s="5">
        <v>0</v>
      </c>
      <c r="AK183" s="5">
        <v>0</v>
      </c>
      <c r="AL183" s="5">
        <v>471.05999999999995</v>
      </c>
      <c r="AM183" s="5">
        <v>0</v>
      </c>
      <c r="AN183" s="5">
        <v>477</v>
      </c>
      <c r="AO183" s="5">
        <f t="shared" si="141"/>
        <v>0</v>
      </c>
      <c r="AP183" s="5">
        <f t="shared" si="151"/>
        <v>0</v>
      </c>
      <c r="AQ183" s="5">
        <v>0</v>
      </c>
      <c r="AR183" s="5">
        <v>0</v>
      </c>
      <c r="AS183" s="5">
        <v>0</v>
      </c>
      <c r="AT183" s="5">
        <v>56822</v>
      </c>
      <c r="AU183" s="5">
        <v>0</v>
      </c>
      <c r="AV183" s="5">
        <v>1122</v>
      </c>
      <c r="AW183" s="5">
        <v>278</v>
      </c>
      <c r="AX183" s="5">
        <v>3</v>
      </c>
      <c r="AY183" s="199">
        <v>0</v>
      </c>
      <c r="AZ183" s="199">
        <v>0</v>
      </c>
      <c r="BA183" s="5">
        <v>229470.61</v>
      </c>
      <c r="BB183" s="13">
        <v>1549510.56</v>
      </c>
      <c r="BC183" s="101">
        <f>MAX(ROUND(IF(F183&lt;4,IF(H183=0,(SUM(Y183:AD183)*Worksheet!$E$26+Y183*Worksheet!$E$27+AR183*Worksheet!$E$39)*-BaseRate,0)),2),MIN(0,-DI183))</f>
        <v>-491128.04</v>
      </c>
      <c r="BD183" s="101">
        <f>MAX(ROUND(IF(F183=4,0,IF(I183=0,0,ROUND(SUM(Y183:AD183)*Worksheet!$E$28,2)*-BaseRate)),2),MIN(0,-DI183-BC183))</f>
        <v>-11167.68</v>
      </c>
      <c r="BE183" s="130">
        <f t="shared" si="134"/>
        <v>2511</v>
      </c>
      <c r="BF183" s="130">
        <f t="shared" si="135"/>
        <v>1406</v>
      </c>
      <c r="BG183" s="73"/>
      <c r="BH183" s="118">
        <f t="shared" si="136"/>
        <v>50472.12</v>
      </c>
      <c r="BI183" s="118">
        <f t="shared" si="137"/>
        <v>10422.41</v>
      </c>
      <c r="BJ183" s="232">
        <f>IFERROR(ROUND(IF(AND(BB183*1.12&lt;N183*60/1000,N183/CL183&lt;STVPP*0.2),(CL183*STVPP*0.2*Worksheet!$F$88/1000-BB183*1.12)*PropTaxAdj,IF(BB183*1.12&lt;N183*60/1000,(N183*60/1000-BB183*1.12)*PropTaxAdj,0)),2),0)</f>
        <v>0</v>
      </c>
      <c r="BK183" s="116">
        <f>ROUND(IF($F183=4,0,Y183*Worksheet!$E$16),2)</f>
        <v>0.94</v>
      </c>
      <c r="BL183" s="116">
        <f>ROUND(IF($F183=4,0,Z183*Worksheet!$E$17),2)</f>
        <v>37</v>
      </c>
      <c r="BM183" s="116">
        <f>ROUND(IF($F183=4,0,AA183*Worksheet!$E$18),2)</f>
        <v>218</v>
      </c>
      <c r="BN183" s="116">
        <f>ROUND(IF($F183=4,0,AB183*Worksheet!$E$19),2)</f>
        <v>73</v>
      </c>
      <c r="BO183" s="116">
        <f>ROUND(IF($F183=4,0,AC183*Worksheet!$E$20),2)</f>
        <v>149</v>
      </c>
      <c r="BP183" s="116">
        <f>ROUND(AD183*Worksheet!$E$21,2)</f>
        <v>0</v>
      </c>
      <c r="BQ183" s="116">
        <f t="shared" si="105"/>
        <v>477.94</v>
      </c>
      <c r="BR183" s="116">
        <f>ROUND(AD183*Worksheet!$E$25,2)</f>
        <v>0</v>
      </c>
      <c r="BS183" s="116">
        <f>ROUND(SUM(BQ183)*Worksheet!$E$26,2)</f>
        <v>42.06</v>
      </c>
      <c r="BT183" s="116">
        <f>ROUND(Y183*Worksheet!$E$27,2)</f>
        <v>0.16</v>
      </c>
      <c r="BU183" s="116">
        <f>ROUND(AO183*Worksheet!$E$29,2)</f>
        <v>0</v>
      </c>
      <c r="BV183" s="116">
        <f>ROUND(AP183*Worksheet!$E$30,2)</f>
        <v>0</v>
      </c>
      <c r="BW183" s="116">
        <f>ROUND(IF($I183&lt;&gt;0,$BQ183*Worksheet!$E$28,0),2)</f>
        <v>0.96</v>
      </c>
      <c r="BX183" s="116">
        <f>ROUND(AE183*Worksheet!$E$31,2)</f>
        <v>0.4</v>
      </c>
      <c r="BY183" s="116">
        <f>ROUND(AF183*Worksheet!$E$32,2)</f>
        <v>0.28000000000000003</v>
      </c>
      <c r="BZ183" s="116">
        <f>ROUND(AG183*Worksheet!$E$33,2)</f>
        <v>0.42</v>
      </c>
      <c r="CA183" s="116">
        <f>ROUND(ROUND(AH183*BQ183,2)*Worksheet!$E$34,2)</f>
        <v>3.23</v>
      </c>
      <c r="CB183" s="116">
        <f>ROUND(AI183*Worksheet!$E$35,2)</f>
        <v>0</v>
      </c>
      <c r="CC183" s="116">
        <f>ROUND(AJ183*Worksheet!$E$36,2)</f>
        <v>0</v>
      </c>
      <c r="CD183" s="116">
        <f>ROUND(AQ183*Worksheet!$E$38,2)</f>
        <v>0</v>
      </c>
      <c r="CE183" s="116">
        <f>ROUND(AR183*Worksheet!$E$39,2)</f>
        <v>0</v>
      </c>
      <c r="CF183" s="116">
        <f>IF(AND(L183&gt;275,SUM(Y183:AD183)&lt;100),ROUND(SUM(Y183:AD183)*Worksheet!$E$41,2),0)</f>
        <v>0</v>
      </c>
      <c r="CG183" s="116">
        <f>IF(AND(L183&gt;600,SUM(Y183:AD183)&lt;50),ROUND((50-SUM(Y183:AD183))*(Worksheet!$E$41+1),2),0)</f>
        <v>0</v>
      </c>
      <c r="CH183" s="116">
        <f t="shared" si="106"/>
        <v>525.44999999999993</v>
      </c>
      <c r="CI183" s="116">
        <f t="shared" si="142"/>
        <v>0</v>
      </c>
      <c r="CJ183" s="116">
        <f t="shared" si="143"/>
        <v>525.44999999999993</v>
      </c>
      <c r="CK183" s="95">
        <f t="shared" si="138"/>
        <v>1.02</v>
      </c>
      <c r="CL183" s="116">
        <f t="shared" si="144"/>
        <v>535.96</v>
      </c>
      <c r="CM183" s="116">
        <f t="shared" si="145"/>
        <v>535.96</v>
      </c>
      <c r="CN183" s="116">
        <f t="shared" si="139"/>
        <v>6234822.6799999997</v>
      </c>
      <c r="CO183" s="131">
        <f>ROUND(IF(F183=4,0,(MAX(ROUND(MAX((BI183*MIN(CL183,K183)*Worksheet!$D$126)+MAX(CL183-K183,0)*Worksheet!$F$50,SUM(J183)),2),SUM(CN183))-SUM(CN183))*MinAdj),2)</f>
        <v>0</v>
      </c>
      <c r="CP183" s="116">
        <f t="shared" si="140"/>
        <v>6234822.6799999997</v>
      </c>
      <c r="CQ183" s="131">
        <f>IF(CL183=0,0,-MIN(CP183,MIN(CP183,ROUND(IF(ROUND(IF(CL183=0,0,N183/CL183),2)&lt;STVPP*0.2,STVPP*0.2*CL183*Worksheet!$F$88/1000,N183*Worksheet!$F$88/1000),2))))</f>
        <v>-1623062.16</v>
      </c>
      <c r="CR183" s="131">
        <f>-MIN(SUM(CP183,CQ183),IF($P183=0,(ROUND(Worksheet!$E$77*S183,2)+ROUND(Worksheet!$E$78*T183,2)+ROUND(Worksheet!$E$79*U183,2)+ROUND(Worksheet!$E$80*V183,2)+ROUND(Worksheet!$E$81*W183,2)+ROUND(Worksheet!$E$82*X183,2)),(ROUND(ROUND(S183*ROUND((1-$O183/$P183),4),2)*Worksheet!$E$77,2)+ROUND(ROUND(T183*ROUND((1-$O183/$P183),4),2)*Worksheet!$E$78,2)+ROUND(ROUND(U183*ROUND((1-$O183/$P183),4),2)*Worksheet!$E$79,2)+ROUND(ROUND(V183*ROUND((1-$O183/$P183),4),2)*Worksheet!$E$80,2)+ROUND(ROUND(W183*ROUND((1-$O183/$P183),4),2)*Worksheet!$E$81,2)+ROUND(ROUND(X183*ROUND((1-$O183/$P183),4),2)*Worksheet!$E$82,2))))</f>
        <v>-38167.01</v>
      </c>
      <c r="CS183" s="116">
        <f t="shared" si="107"/>
        <v>4573593.51</v>
      </c>
      <c r="CT183" s="116">
        <f>ROUND(MIN(BA183,ROUND((ROUND(AS183*Worksheet!$E$104,2)+ROUND(AV183*Worksheet!$E$107,2)+ROUND(AT183*Worksheet!$E$105,2)+ROUND(AW183*Worksheet!$E$108,2)+ROUND(AU183*Worksheet!$E$106,2)+ROUND(AX183*Worksheet!$E$109,2)+ROUND(AY183*Worksheet!$E$110,2)+ROUND(AZ183*Worksheet!$E$111,2))*Worksheet!$D$114,2))*BaseRate,2)</f>
        <v>87945.48</v>
      </c>
      <c r="CU183" s="121">
        <v>0</v>
      </c>
      <c r="CV183" s="121">
        <v>0</v>
      </c>
      <c r="CW183" s="121">
        <v>0</v>
      </c>
      <c r="CX183" s="121">
        <v>0</v>
      </c>
      <c r="CY183" s="121">
        <v>0</v>
      </c>
      <c r="DA183" s="116">
        <f t="shared" si="108"/>
        <v>0</v>
      </c>
      <c r="DB183" s="116">
        <f>MAX(-CT183,MIN(0,ROUND($R183*EFBPercent+EFBAdd,2)-$Q183),MIN(0,SUM($CS183:CS183)+MIN(0,ROUND($R183*EFBPercent+EFBAdd,2)-$Q183)))</f>
        <v>0</v>
      </c>
      <c r="DC183" s="192">
        <f>IF(CU183&lt;0,0,MAX(-CU183,MIN(0,ROUND($R183*EFBPercent+EFBAdd,2)-$Q183),MIN(0,SUM($CS183:CT183)+MIN(0,ROUND($R183*EFBPercent+EFBAdd,2)-$Q183))))</f>
        <v>0</v>
      </c>
      <c r="DD183" s="192">
        <f>IF(CV183&lt;0,0,MAX(-CV183,MIN(0,ROUND($R183*EFBPercent+EFBAdd,2)-$Q183),MIN(0,SUM($CS183:CU183)+MIN(0,ROUND($R183*EFBPercent+EFBAdd,2)-$Q183))))</f>
        <v>0</v>
      </c>
      <c r="DE183" s="192">
        <f>IF(CW183&lt;0,0,MAX(-CW183,MIN(0,ROUND($R183*EFBPercent+EFBAdd,2)-$Q183),MIN(0,SUM($CS183:CV183)+MIN(0,ROUND($R183*EFBPercent+EFBAdd,2)-$Q183))))</f>
        <v>0</v>
      </c>
      <c r="DF183" s="192">
        <f>IF(CX183&lt;0,0,MAX(-CX183,MIN(0,ROUND($R183*EFBPercent+EFBAdd,2)-$Q183),MIN(0,SUM($CS183:CW183)+MIN(0,ROUND($R183*EFBPercent+EFBAdd,2)-$Q183))))</f>
        <v>0</v>
      </c>
      <c r="DG183" s="116">
        <f>MAX(-CY183,MIN(0,ROUND($R183*EFBPercent+EFBAdd,2)-$Q183),MIN(0,SUM($CS183:CX183)+MIN(0,ROUND($R183*EFBPercent+EFBAdd,2)-$Q183)))</f>
        <v>0</v>
      </c>
      <c r="DI183" s="73">
        <f t="shared" si="109"/>
        <v>4573593.51</v>
      </c>
      <c r="DJ183" s="73">
        <f t="shared" si="110"/>
        <v>87945.48</v>
      </c>
      <c r="DK183" s="73">
        <f t="shared" si="111"/>
        <v>0</v>
      </c>
      <c r="DL183" s="73">
        <f t="shared" si="112"/>
        <v>0</v>
      </c>
      <c r="DM183" s="73">
        <f t="shared" si="113"/>
        <v>0</v>
      </c>
      <c r="DN183" s="73">
        <f t="shared" si="114"/>
        <v>0</v>
      </c>
      <c r="DO183" s="73">
        <f t="shared" si="115"/>
        <v>0</v>
      </c>
      <c r="DP183" s="73"/>
      <c r="DQ183" s="73"/>
    </row>
    <row r="184" spans="1:121" ht="10.199999999999999" x14ac:dyDescent="0.2">
      <c r="A184" s="4" t="s">
        <v>640</v>
      </c>
      <c r="B184" s="72">
        <v>1097</v>
      </c>
      <c r="C184" s="13" t="s">
        <v>162</v>
      </c>
      <c r="D184" s="4">
        <v>2027</v>
      </c>
      <c r="E184" s="4" t="s">
        <v>474</v>
      </c>
      <c r="F184" s="4">
        <v>1</v>
      </c>
      <c r="G184" s="4" t="s">
        <v>682</v>
      </c>
      <c r="H184" s="4">
        <v>0</v>
      </c>
      <c r="I184" s="4" t="s">
        <v>854</v>
      </c>
      <c r="J184" s="5">
        <v>5292913.72</v>
      </c>
      <c r="K184" s="5">
        <v>540.86</v>
      </c>
      <c r="L184" s="5">
        <v>444.01</v>
      </c>
      <c r="M184" s="5">
        <v>0</v>
      </c>
      <c r="N184" s="5">
        <v>29930893</v>
      </c>
      <c r="O184" s="5">
        <v>0</v>
      </c>
      <c r="P184" s="5">
        <v>91</v>
      </c>
      <c r="Q184" s="5">
        <v>0</v>
      </c>
      <c r="R184" s="5">
        <v>0</v>
      </c>
      <c r="S184" s="5">
        <v>7850</v>
      </c>
      <c r="T184" s="5">
        <v>0</v>
      </c>
      <c r="U184" s="5">
        <v>0</v>
      </c>
      <c r="V184" s="5">
        <v>18283.099999999999</v>
      </c>
      <c r="W184" s="5">
        <v>0</v>
      </c>
      <c r="X184" s="5">
        <v>37366.44</v>
      </c>
      <c r="Y184" s="5">
        <v>0.49</v>
      </c>
      <c r="Z184" s="5">
        <v>37</v>
      </c>
      <c r="AA184" s="5">
        <v>253</v>
      </c>
      <c r="AB184" s="5">
        <v>93</v>
      </c>
      <c r="AC184" s="5">
        <v>146</v>
      </c>
      <c r="AD184" s="5">
        <v>0</v>
      </c>
      <c r="AE184" s="5">
        <v>0</v>
      </c>
      <c r="AF184" s="5">
        <v>0.76</v>
      </c>
      <c r="AG184" s="5">
        <v>2</v>
      </c>
      <c r="AH184" s="5">
        <v>0.21299999999999999</v>
      </c>
      <c r="AI184" s="5">
        <v>0</v>
      </c>
      <c r="AJ184" s="5">
        <v>0</v>
      </c>
      <c r="AK184" s="5">
        <v>0</v>
      </c>
      <c r="AL184" s="5">
        <v>521.79999999999995</v>
      </c>
      <c r="AM184" s="5">
        <v>16.160000000000082</v>
      </c>
      <c r="AN184" s="5">
        <v>529</v>
      </c>
      <c r="AO184" s="5">
        <f t="shared" si="141"/>
        <v>0</v>
      </c>
      <c r="AP184" s="5">
        <f t="shared" si="151"/>
        <v>0</v>
      </c>
      <c r="AQ184" s="5">
        <v>3.75</v>
      </c>
      <c r="AR184" s="5">
        <v>0</v>
      </c>
      <c r="AS184" s="5">
        <v>0</v>
      </c>
      <c r="AT184" s="5">
        <v>92050</v>
      </c>
      <c r="AU184" s="5">
        <v>0</v>
      </c>
      <c r="AV184" s="5">
        <v>1750</v>
      </c>
      <c r="AW184" s="5">
        <v>444.01</v>
      </c>
      <c r="AX184" s="5">
        <v>2</v>
      </c>
      <c r="AY184" s="199">
        <v>0</v>
      </c>
      <c r="AZ184" s="199">
        <v>0</v>
      </c>
      <c r="BA184" s="5">
        <v>323028.81</v>
      </c>
      <c r="BB184" s="13">
        <v>1713295.8</v>
      </c>
      <c r="BC184" s="101">
        <f>MAX(ROUND(IF(F184&lt;4,IF(H184=0,(SUM(Y184:AD184)*Worksheet!$E$26+Y184*Worksheet!$E$27+AR184*Worksheet!$E$39)*-BaseRate,0)),2),MIN(0,-DI184))</f>
        <v>-543010.06000000006</v>
      </c>
      <c r="BD184" s="101">
        <f>MAX(ROUND(IF(F184=4,0,IF(I184=0,0,ROUND(SUM(Y184:AD184)*Worksheet!$E$28,2)*-BaseRate)),2),MIN(0,-DI184-BC184))</f>
        <v>-12330.98</v>
      </c>
      <c r="BE184" s="130">
        <f t="shared" si="134"/>
        <v>2511</v>
      </c>
      <c r="BF184" s="130">
        <f t="shared" si="135"/>
        <v>1406</v>
      </c>
      <c r="BG184" s="73"/>
      <c r="BH184" s="118">
        <f t="shared" si="136"/>
        <v>50363.27</v>
      </c>
      <c r="BI184" s="118">
        <f t="shared" si="137"/>
        <v>9786.11</v>
      </c>
      <c r="BJ184" s="232">
        <f>IFERROR(ROUND(IF(AND(BB184*1.12&lt;N184*60/1000,N184/CL184&lt;STVPP*0.2),(CL184*STVPP*0.2*Worksheet!$F$88/1000-BB184*1.12)*PropTaxAdj,IF(BB184*1.12&lt;N184*60/1000,(N184*60/1000-BB184*1.12)*PropTaxAdj,0)),2),0)</f>
        <v>0</v>
      </c>
      <c r="BK184" s="116">
        <f>ROUND(IF($F184=4,0,Y184*Worksheet!$E$16),2)</f>
        <v>0.49</v>
      </c>
      <c r="BL184" s="116">
        <f>ROUND(IF($F184=4,0,Z184*Worksheet!$E$17),2)</f>
        <v>37</v>
      </c>
      <c r="BM184" s="116">
        <f>ROUND(IF($F184=4,0,AA184*Worksheet!$E$18),2)</f>
        <v>253</v>
      </c>
      <c r="BN184" s="116">
        <f>ROUND(IF($F184=4,0,AB184*Worksheet!$E$19),2)</f>
        <v>93</v>
      </c>
      <c r="BO184" s="116">
        <f>ROUND(IF($F184=4,0,AC184*Worksheet!$E$20),2)</f>
        <v>146</v>
      </c>
      <c r="BP184" s="116">
        <f>ROUND(AD184*Worksheet!$E$21,2)</f>
        <v>0</v>
      </c>
      <c r="BQ184" s="116">
        <f t="shared" si="105"/>
        <v>529.49</v>
      </c>
      <c r="BR184" s="116">
        <f>ROUND(AD184*Worksheet!$E$25,2)</f>
        <v>0</v>
      </c>
      <c r="BS184" s="116">
        <f>ROUND(SUM(BQ184)*Worksheet!$E$26,2)</f>
        <v>46.6</v>
      </c>
      <c r="BT184" s="116">
        <f>ROUND(Y184*Worksheet!$E$27,2)</f>
        <v>0.08</v>
      </c>
      <c r="BU184" s="116">
        <f>ROUND(AO184*Worksheet!$E$29,2)</f>
        <v>0</v>
      </c>
      <c r="BV184" s="116">
        <f>ROUND(AP184*Worksheet!$E$30,2)</f>
        <v>0</v>
      </c>
      <c r="BW184" s="116">
        <f>ROUND(IF($I184&lt;&gt;0,$BQ184*Worksheet!$E$28,0),2)</f>
        <v>1.06</v>
      </c>
      <c r="BX184" s="116">
        <f>ROUND(AE184*Worksheet!$E$31,2)</f>
        <v>0</v>
      </c>
      <c r="BY184" s="116">
        <f>ROUND(AF184*Worksheet!$E$32,2)</f>
        <v>0.21</v>
      </c>
      <c r="BZ184" s="116">
        <f>ROUND(AG184*Worksheet!$E$33,2)</f>
        <v>0.14000000000000001</v>
      </c>
      <c r="CA184" s="116">
        <f>ROUND(ROUND(AH184*BQ184,2)*Worksheet!$E$34,2)</f>
        <v>2.82</v>
      </c>
      <c r="CB184" s="116">
        <f>ROUND(AI184*Worksheet!$E$35,2)</f>
        <v>0</v>
      </c>
      <c r="CC184" s="116">
        <f>ROUND(AJ184*Worksheet!$E$36,2)</f>
        <v>0</v>
      </c>
      <c r="CD184" s="116">
        <f>ROUND(AQ184*Worksheet!$E$38,2)</f>
        <v>2.25</v>
      </c>
      <c r="CE184" s="116">
        <f>ROUND(AR184*Worksheet!$E$39,2)</f>
        <v>0</v>
      </c>
      <c r="CF184" s="116">
        <f>IF(AND(L184&gt;275,SUM(Y184:AD184)&lt;100),ROUND(SUM(Y184:AD184)*Worksheet!$E$41,2),0)</f>
        <v>0</v>
      </c>
      <c r="CG184" s="116">
        <f>IF(AND(L184&gt;600,SUM(Y184:AD184)&lt;50),ROUND((50-SUM(Y184:AD184))*(Worksheet!$E$41+1),2),0)</f>
        <v>0</v>
      </c>
      <c r="CH184" s="116">
        <f t="shared" si="106"/>
        <v>582.65000000000009</v>
      </c>
      <c r="CI184" s="116">
        <f t="shared" si="142"/>
        <v>0</v>
      </c>
      <c r="CJ184" s="116">
        <f t="shared" si="143"/>
        <v>582.65000000000009</v>
      </c>
      <c r="CK184" s="95">
        <f t="shared" si="138"/>
        <v>1.02</v>
      </c>
      <c r="CL184" s="116">
        <f t="shared" si="144"/>
        <v>594.29999999999995</v>
      </c>
      <c r="CM184" s="116">
        <f t="shared" si="145"/>
        <v>594.29999999999995</v>
      </c>
      <c r="CN184" s="116">
        <f t="shared" si="139"/>
        <v>6913491.9000000004</v>
      </c>
      <c r="CO184" s="131">
        <f>ROUND(IF(F184=4,0,(MAX(ROUND(MAX((BI184*MIN(CL184,K184)*Worksheet!$D$126)+MAX(CL184-K184,0)*Worksheet!$F$50,SUM(J184)),2),SUM(CN184))-SUM(CN184))*MinAdj),2)</f>
        <v>0</v>
      </c>
      <c r="CP184" s="116">
        <f t="shared" si="140"/>
        <v>6913491.9000000004</v>
      </c>
      <c r="CQ184" s="131">
        <f>IF(CL184=0,0,-MIN(CP184,MIN(CP184,ROUND(IF(ROUND(IF(CL184=0,0,N184/CL184),2)&lt;STVPP*0.2,STVPP*0.2*CL184*Worksheet!$F$88/1000,N184*Worksheet!$F$88/1000),2))))</f>
        <v>-1795853.58</v>
      </c>
      <c r="CR184" s="131">
        <f>-MIN(SUM(CP184,CQ184),IF($P184=0,(ROUND(Worksheet!$E$77*S184,2)+ROUND(Worksheet!$E$78*T184,2)+ROUND(Worksheet!$E$79*U184,2)+ROUND(Worksheet!$E$80*V184,2)+ROUND(Worksheet!$E$81*W184,2)+ROUND(Worksheet!$E$82*X184,2)),(ROUND(ROUND(S184*ROUND((1-$O184/$P184),4),2)*Worksheet!$E$77,2)+ROUND(ROUND(T184*ROUND((1-$O184/$P184),4),2)*Worksheet!$E$78,2)+ROUND(ROUND(U184*ROUND((1-$O184/$P184),4),2)*Worksheet!$E$79,2)+ROUND(ROUND(V184*ROUND((1-$O184/$P184),4),2)*Worksheet!$E$80,2)+ROUND(ROUND(W184*ROUND((1-$O184/$P184),4),2)*Worksheet!$E$81,2)+ROUND(ROUND(X184*ROUND((1-$O184/$P184),4),2)*Worksheet!$E$82,2))))</f>
        <v>-47624.66</v>
      </c>
      <c r="CS184" s="116">
        <f t="shared" si="107"/>
        <v>5070013.66</v>
      </c>
      <c r="CT184" s="116">
        <f>ROUND(MIN(BA184,ROUND((ROUND(AS184*Worksheet!$E$104,2)+ROUND(AV184*Worksheet!$E$107,2)+ROUND(AT184*Worksheet!$E$105,2)+ROUND(AW184*Worksheet!$E$108,2)+ROUND(AU184*Worksheet!$E$106,2)+ROUND(AX184*Worksheet!$E$109,2)+ROUND(AY184*Worksheet!$E$110,2)+ROUND(AZ184*Worksheet!$E$111,2))*Worksheet!$D$114,2))*BaseRate,2)</f>
        <v>135640.78</v>
      </c>
      <c r="CU184" s="121">
        <v>57.09</v>
      </c>
      <c r="CV184" s="121">
        <v>0</v>
      </c>
      <c r="CW184" s="121">
        <v>0</v>
      </c>
      <c r="CX184" s="121">
        <v>0</v>
      </c>
      <c r="CY184" s="121">
        <v>0</v>
      </c>
      <c r="DA184" s="116">
        <f t="shared" si="108"/>
        <v>0</v>
      </c>
      <c r="DB184" s="116">
        <f>MAX(-CT184,MIN(0,ROUND($R184*EFBPercent+EFBAdd,2)-$Q184),MIN(0,SUM($CS184:CS184)+MIN(0,ROUND($R184*EFBPercent+EFBAdd,2)-$Q184)))</f>
        <v>0</v>
      </c>
      <c r="DC184" s="192">
        <f>IF(CU184&lt;0,0,MAX(-CU184,MIN(0,ROUND($R184*EFBPercent+EFBAdd,2)-$Q184),MIN(0,SUM($CS184:CT184)+MIN(0,ROUND($R184*EFBPercent+EFBAdd,2)-$Q184))))</f>
        <v>0</v>
      </c>
      <c r="DD184" s="192">
        <f>IF(CV184&lt;0,0,MAX(-CV184,MIN(0,ROUND($R184*EFBPercent+EFBAdd,2)-$Q184),MIN(0,SUM($CS184:CU184)+MIN(0,ROUND($R184*EFBPercent+EFBAdd,2)-$Q184))))</f>
        <v>0</v>
      </c>
      <c r="DE184" s="192">
        <f>IF(CW184&lt;0,0,MAX(-CW184,MIN(0,ROUND($R184*EFBPercent+EFBAdd,2)-$Q184),MIN(0,SUM($CS184:CV184)+MIN(0,ROUND($R184*EFBPercent+EFBAdd,2)-$Q184))))</f>
        <v>0</v>
      </c>
      <c r="DF184" s="192">
        <f>IF(CX184&lt;0,0,MAX(-CX184,MIN(0,ROUND($R184*EFBPercent+EFBAdd,2)-$Q184),MIN(0,SUM($CS184:CW184)+MIN(0,ROUND($R184*EFBPercent+EFBAdd,2)-$Q184))))</f>
        <v>0</v>
      </c>
      <c r="DG184" s="116">
        <f>MAX(-CY184,MIN(0,ROUND($R184*EFBPercent+EFBAdd,2)-$Q184),MIN(0,SUM($CS184:CX184)+MIN(0,ROUND($R184*EFBPercent+EFBAdd,2)-$Q184)))</f>
        <v>0</v>
      </c>
      <c r="DI184" s="73">
        <f t="shared" si="109"/>
        <v>5070013.66</v>
      </c>
      <c r="DJ184" s="73">
        <f t="shared" si="110"/>
        <v>135640.78</v>
      </c>
      <c r="DK184" s="73">
        <f t="shared" si="111"/>
        <v>57.09</v>
      </c>
      <c r="DL184" s="73">
        <f t="shared" si="112"/>
        <v>0</v>
      </c>
      <c r="DM184" s="73">
        <f t="shared" si="113"/>
        <v>0</v>
      </c>
      <c r="DN184" s="73">
        <f t="shared" si="114"/>
        <v>0</v>
      </c>
      <c r="DO184" s="73">
        <f t="shared" si="115"/>
        <v>0</v>
      </c>
      <c r="DP184" s="73"/>
      <c r="DQ184" s="73"/>
    </row>
    <row r="185" spans="1:121" ht="10.199999999999999" x14ac:dyDescent="0.2">
      <c r="A185" s="4" t="s">
        <v>682</v>
      </c>
      <c r="B185" s="72">
        <v>2511</v>
      </c>
      <c r="C185" s="13" t="s">
        <v>199</v>
      </c>
      <c r="D185" s="4">
        <v>2027</v>
      </c>
      <c r="E185" s="4" t="s">
        <v>1049</v>
      </c>
      <c r="F185" s="4">
        <v>7</v>
      </c>
      <c r="G185" s="4" t="s">
        <v>682</v>
      </c>
      <c r="H185" s="4">
        <v>100</v>
      </c>
      <c r="I185" s="4">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f t="shared" si="141"/>
        <v>0</v>
      </c>
      <c r="AP185" s="5">
        <v>0</v>
      </c>
      <c r="AQ185" s="5">
        <v>0</v>
      </c>
      <c r="AR185" s="5">
        <v>0</v>
      </c>
      <c r="AS185" s="5">
        <v>5292.1</v>
      </c>
      <c r="AT185" s="5">
        <v>0</v>
      </c>
      <c r="AU185" s="5">
        <v>360</v>
      </c>
      <c r="AV185" s="5">
        <v>0</v>
      </c>
      <c r="AW185" s="5">
        <v>0</v>
      </c>
      <c r="AX185" s="5">
        <v>0</v>
      </c>
      <c r="AY185" s="199">
        <v>0</v>
      </c>
      <c r="AZ185" s="199">
        <v>0</v>
      </c>
      <c r="BA185" s="5">
        <v>12335.44</v>
      </c>
      <c r="BB185" s="13">
        <v>0</v>
      </c>
      <c r="BC185" s="101">
        <f>MAX(ROUND(IF(F185&lt;4,IF(H185=0,(SUM(Y185:AD185)*Worksheet!$E$26+Y185*Worksheet!$E$27+AR185*Worksheet!$E$39)*-BaseRate,0)),2),MIN(0,-DI185))</f>
        <v>0</v>
      </c>
      <c r="BD185" s="101">
        <f>MAX(ROUND(IF(F185=4,0,IF(I185=0,0,ROUND(SUM(Y185:AD185)*Worksheet!$E$28,2)*-BaseRate)),2),MIN(0,-DI185-BC185))</f>
        <v>0</v>
      </c>
      <c r="BE185" s="130">
        <f t="shared" si="134"/>
        <v>0</v>
      </c>
      <c r="BF185" s="130">
        <f t="shared" si="135"/>
        <v>0</v>
      </c>
      <c r="BG185" s="73"/>
      <c r="BH185" s="118">
        <f t="shared" si="136"/>
        <v>0</v>
      </c>
      <c r="BI185" s="118">
        <f t="shared" si="137"/>
        <v>0</v>
      </c>
      <c r="BJ185" s="232">
        <f>IFERROR(ROUND(IF(AND(BB185*1.12&lt;N185*60/1000,N185/CL185&lt;STVPP*0.2),(CL185*STVPP*0.2*Worksheet!$F$88/1000-BB185*1.12)*PropTaxAdj,IF(BB185*1.12&lt;N185*60/1000,(N185*60/1000-BB185*1.12)*PropTaxAdj,0)),2),0)</f>
        <v>0</v>
      </c>
      <c r="BK185" s="116">
        <f>ROUND(IF($F185=4,0,Y185*Worksheet!$E$16),2)</f>
        <v>0</v>
      </c>
      <c r="BL185" s="116">
        <f>ROUND(IF($F185=4,0,Z185*Worksheet!$E$17),2)</f>
        <v>0</v>
      </c>
      <c r="BM185" s="116">
        <f>ROUND(IF($F185=4,0,AA185*Worksheet!$E$18),2)</f>
        <v>0</v>
      </c>
      <c r="BN185" s="116">
        <f>ROUND(IF($F185=4,0,AB185*Worksheet!$E$19),2)</f>
        <v>0</v>
      </c>
      <c r="BO185" s="116">
        <f>ROUND(IF($F185=4,0,AC185*Worksheet!$E$20),2)</f>
        <v>0</v>
      </c>
      <c r="BP185" s="116">
        <f>ROUND(AD185*Worksheet!$E$21,2)</f>
        <v>0</v>
      </c>
      <c r="BQ185" s="116">
        <f t="shared" si="105"/>
        <v>0</v>
      </c>
      <c r="BR185" s="116">
        <f>ROUND(AD185*Worksheet!$E$25,2)</f>
        <v>0</v>
      </c>
      <c r="BS185" s="116">
        <f>ROUND(SUM(BQ185)*Worksheet!$E$26,2)</f>
        <v>0</v>
      </c>
      <c r="BT185" s="116">
        <f>ROUND(Y185*Worksheet!$E$27,2)</f>
        <v>0</v>
      </c>
      <c r="BU185" s="116">
        <f>ROUND(AO185*Worksheet!$E$29,2)</f>
        <v>0</v>
      </c>
      <c r="BV185" s="116">
        <f>ROUND(AP185*Worksheet!$E$30,2)</f>
        <v>0</v>
      </c>
      <c r="BW185" s="116">
        <f>ROUND(IF($I185&lt;&gt;0,$BQ185*Worksheet!$E$28,0),2)</f>
        <v>0</v>
      </c>
      <c r="BX185" s="116">
        <f>ROUND(AE185*Worksheet!$E$31,2)</f>
        <v>0</v>
      </c>
      <c r="BY185" s="116">
        <f>ROUND(AF185*Worksheet!$E$32,2)</f>
        <v>0</v>
      </c>
      <c r="BZ185" s="116">
        <f>ROUND(AG185*Worksheet!$E$33,2)</f>
        <v>0</v>
      </c>
      <c r="CA185" s="116">
        <f>ROUND(ROUND(AH185*BQ185,2)*Worksheet!$E$34,2)</f>
        <v>0</v>
      </c>
      <c r="CB185" s="116">
        <f>ROUND(AI185*Worksheet!$E$35,2)</f>
        <v>0</v>
      </c>
      <c r="CC185" s="116">
        <f>ROUND(AJ185*Worksheet!$E$36,2)</f>
        <v>0</v>
      </c>
      <c r="CD185" s="116">
        <f>ROUND(AQ185*Worksheet!$E$38,2)</f>
        <v>0</v>
      </c>
      <c r="CE185" s="116">
        <f>ROUND(AR185*Worksheet!$E$39,2)</f>
        <v>0</v>
      </c>
      <c r="CF185" s="116">
        <f>IF(AND(L185&gt;275,SUM(Y185:AD185)&lt;100),ROUND(SUM(Y185:AD185)*Worksheet!$E$41,2),0)</f>
        <v>0</v>
      </c>
      <c r="CG185" s="116">
        <f>IF(AND(L185&gt;600,SUM(Y185:AD185)&lt;50),ROUND((50-SUM(Y185:AD185))*(Worksheet!$E$41+1),2),0)</f>
        <v>0</v>
      </c>
      <c r="CH185" s="116">
        <f t="shared" si="106"/>
        <v>0</v>
      </c>
      <c r="CI185" s="116">
        <f t="shared" si="142"/>
        <v>0</v>
      </c>
      <c r="CJ185" s="116">
        <f t="shared" si="143"/>
        <v>0</v>
      </c>
      <c r="CK185" s="95">
        <f t="shared" si="138"/>
        <v>0</v>
      </c>
      <c r="CL185" s="116">
        <f t="shared" si="144"/>
        <v>0</v>
      </c>
      <c r="CM185" s="116">
        <f t="shared" si="145"/>
        <v>0</v>
      </c>
      <c r="CN185" s="116">
        <f t="shared" si="139"/>
        <v>0</v>
      </c>
      <c r="CO185" s="131">
        <f>ROUND(IF(F185=4,0,(MAX(ROUND(MAX((BI185*MIN(CL185,K185)*Worksheet!$D$126)+MAX(CL185-K185,0)*Worksheet!$F$50,SUM(J185)),2),SUM(CN185))-SUM(CN185))*MinAdj),2)</f>
        <v>0</v>
      </c>
      <c r="CP185" s="116">
        <f t="shared" si="140"/>
        <v>0</v>
      </c>
      <c r="CQ185" s="131">
        <f>IF(CL185=0,0,-MIN(CP185,MIN(CP185,ROUND(IF(ROUND(IF(CL185=0,0,N185/CL185),2)&lt;STVPP*0.2,STVPP*0.2*CL185*Worksheet!$F$88/1000,N185*Worksheet!$F$88/1000),2))))</f>
        <v>0</v>
      </c>
      <c r="CR185" s="131">
        <f>-MIN(SUM(CP185,CQ185),IF($P185=0,(ROUND(Worksheet!$E$77*S185,2)+ROUND(Worksheet!$E$78*T185,2)+ROUND(Worksheet!$E$79*U185,2)+ROUND(Worksheet!$E$80*V185,2)+ROUND(Worksheet!$E$81*W185,2)+ROUND(Worksheet!$E$82*X185,2)),(ROUND(ROUND(S185*ROUND((1-$O185/$P185),4),2)*Worksheet!$E$77,2)+ROUND(ROUND(T185*ROUND((1-$O185/$P185),4),2)*Worksheet!$E$78,2)+ROUND(ROUND(U185*ROUND((1-$O185/$P185),4),2)*Worksheet!$E$79,2)+ROUND(ROUND(V185*ROUND((1-$O185/$P185),4),2)*Worksheet!$E$80,2)+ROUND(ROUND(W185*ROUND((1-$O185/$P185),4),2)*Worksheet!$E$81,2)+ROUND(ROUND(X185*ROUND((1-$O185/$P185),4),2)*Worksheet!$E$82,2))))</f>
        <v>0</v>
      </c>
      <c r="CS185" s="116">
        <f t="shared" si="107"/>
        <v>0</v>
      </c>
      <c r="CT185" s="116">
        <f>ROUND(MIN(BA185,ROUND((ROUND(AS185*Worksheet!$E$104,2)+ROUND(AV185*Worksheet!$E$107,2)+ROUND(AT185*Worksheet!$E$105,2)+ROUND(AW185*Worksheet!$E$108,2)+ROUND(AU185*Worksheet!$E$106,2)+ROUND(AX185*Worksheet!$E$109,2)+ROUND(AY185*Worksheet!$E$110,2)+ROUND(AZ185*Worksheet!$E$111,2))*Worksheet!$D$114,2))*BaseRate,2)</f>
        <v>4653.2</v>
      </c>
      <c r="CU185" s="121">
        <v>0</v>
      </c>
      <c r="CV185" s="121">
        <v>2349.71</v>
      </c>
      <c r="CW185" s="121">
        <v>0</v>
      </c>
      <c r="CX185" s="121">
        <v>0</v>
      </c>
      <c r="CY185" s="121">
        <v>0</v>
      </c>
      <c r="DA185" s="116">
        <f t="shared" si="108"/>
        <v>0</v>
      </c>
      <c r="DB185" s="116">
        <f>MAX(-CT185,MIN(0,ROUND($R185*EFBPercent+EFBAdd,2)-$Q185),MIN(0,SUM($CS185:CS185)+MIN(0,ROUND($R185*EFBPercent+EFBAdd,2)-$Q185)))</f>
        <v>0</v>
      </c>
      <c r="DC185" s="192">
        <f>IF(CU185&lt;0,0,MAX(-CU185,MIN(0,ROUND($R185*EFBPercent+EFBAdd,2)-$Q185),MIN(0,SUM($CS185:CT185)+MIN(0,ROUND($R185*EFBPercent+EFBAdd,2)-$Q185))))</f>
        <v>0</v>
      </c>
      <c r="DD185" s="192">
        <f>IF(CV185&lt;0,0,MAX(-CV185,MIN(0,ROUND($R185*EFBPercent+EFBAdd,2)-$Q185),MIN(0,SUM($CS185:CU185)+MIN(0,ROUND($R185*EFBPercent+EFBAdd,2)-$Q185))))</f>
        <v>0</v>
      </c>
      <c r="DE185" s="192">
        <f>IF(CW185&lt;0,0,MAX(-CW185,MIN(0,ROUND($R185*EFBPercent+EFBAdd,2)-$Q185),MIN(0,SUM($CS185:CV185)+MIN(0,ROUND($R185*EFBPercent+EFBAdd,2)-$Q185))))</f>
        <v>0</v>
      </c>
      <c r="DF185" s="192">
        <f>IF(CX185&lt;0,0,MAX(-CX185,MIN(0,ROUND($R185*EFBPercent+EFBAdd,2)-$Q185),MIN(0,SUM($CS185:CW185)+MIN(0,ROUND($R185*EFBPercent+EFBAdd,2)-$Q185))))</f>
        <v>0</v>
      </c>
      <c r="DG185" s="116">
        <f>MAX(-CY185,MIN(0,ROUND($R185*EFBPercent+EFBAdd,2)-$Q185),MIN(0,SUM($CS185:CX185)+MIN(0,ROUND($R185*EFBPercent+EFBAdd,2)-$Q185)))</f>
        <v>0</v>
      </c>
      <c r="DI185" s="73">
        <f t="shared" si="109"/>
        <v>0</v>
      </c>
      <c r="DJ185" s="73">
        <f t="shared" si="110"/>
        <v>4653.2</v>
      </c>
      <c r="DK185" s="73">
        <f t="shared" si="111"/>
        <v>0</v>
      </c>
      <c r="DL185" s="73">
        <f t="shared" si="112"/>
        <v>2349.71</v>
      </c>
      <c r="DM185" s="73">
        <f t="shared" si="113"/>
        <v>0</v>
      </c>
      <c r="DN185" s="73">
        <f t="shared" si="114"/>
        <v>0</v>
      </c>
      <c r="DO185" s="73">
        <f t="shared" si="115"/>
        <v>0</v>
      </c>
      <c r="DP185" s="73"/>
      <c r="DQ185" s="73"/>
    </row>
    <row r="186" spans="1:121" ht="10.199999999999999" x14ac:dyDescent="0.2">
      <c r="A186" s="4" t="s">
        <v>641</v>
      </c>
      <c r="B186" s="72">
        <v>1043</v>
      </c>
      <c r="C186" s="13" t="s">
        <v>163</v>
      </c>
      <c r="D186" s="4">
        <v>2027</v>
      </c>
      <c r="E186" s="4" t="s">
        <v>475</v>
      </c>
      <c r="F186" s="4">
        <v>1</v>
      </c>
      <c r="G186" s="4" t="s">
        <v>683</v>
      </c>
      <c r="H186" s="4">
        <v>100</v>
      </c>
      <c r="I186" s="4" t="s">
        <v>854</v>
      </c>
      <c r="J186" s="5">
        <v>1092091.21</v>
      </c>
      <c r="K186" s="5">
        <v>53.11</v>
      </c>
      <c r="L186" s="5">
        <v>200.81</v>
      </c>
      <c r="M186" s="5">
        <v>0</v>
      </c>
      <c r="N186" s="5">
        <v>6856511</v>
      </c>
      <c r="O186" s="5">
        <v>0</v>
      </c>
      <c r="P186" s="5">
        <v>90</v>
      </c>
      <c r="Q186" s="5">
        <v>0</v>
      </c>
      <c r="R186" s="5">
        <v>0</v>
      </c>
      <c r="S186" s="5">
        <v>245</v>
      </c>
      <c r="T186" s="5">
        <v>0</v>
      </c>
      <c r="U186" s="5">
        <v>0</v>
      </c>
      <c r="V186" s="5">
        <v>7351.81</v>
      </c>
      <c r="W186" s="5">
        <v>294.19</v>
      </c>
      <c r="X186" s="5">
        <v>7138.0400000000009</v>
      </c>
      <c r="Y186" s="5">
        <v>0</v>
      </c>
      <c r="Z186" s="5">
        <v>3</v>
      </c>
      <c r="AA186" s="5">
        <v>24</v>
      </c>
      <c r="AB186" s="5">
        <v>9</v>
      </c>
      <c r="AC186" s="5">
        <v>11</v>
      </c>
      <c r="AD186" s="5">
        <v>0</v>
      </c>
      <c r="AE186" s="5">
        <v>0</v>
      </c>
      <c r="AF186" s="5">
        <v>0.02</v>
      </c>
      <c r="AG186" s="5">
        <v>0</v>
      </c>
      <c r="AH186" s="5">
        <v>0.28299999999999997</v>
      </c>
      <c r="AI186" s="5">
        <v>0</v>
      </c>
      <c r="AJ186" s="5">
        <v>0</v>
      </c>
      <c r="AK186" s="5">
        <v>0</v>
      </c>
      <c r="AL186" s="5">
        <v>46.190000000000005</v>
      </c>
      <c r="AM186" s="5">
        <v>1.0500000000000043</v>
      </c>
      <c r="AN186" s="5">
        <v>47</v>
      </c>
      <c r="AO186" s="5">
        <f t="shared" si="141"/>
        <v>0</v>
      </c>
      <c r="AP186" s="5">
        <f t="shared" ref="AP186:AP189" si="152">IF(AM186&gt;0,SUM(Z186:AD186)-AN186,0)</f>
        <v>0</v>
      </c>
      <c r="AQ186" s="5">
        <v>0</v>
      </c>
      <c r="AR186" s="5">
        <v>0</v>
      </c>
      <c r="AS186" s="5">
        <v>20760</v>
      </c>
      <c r="AT186" s="5">
        <v>51900</v>
      </c>
      <c r="AU186" s="5">
        <v>346</v>
      </c>
      <c r="AV186" s="5">
        <v>865</v>
      </c>
      <c r="AW186" s="5">
        <v>200.81</v>
      </c>
      <c r="AX186" s="5">
        <v>1</v>
      </c>
      <c r="AY186" s="199">
        <v>0</v>
      </c>
      <c r="AZ186" s="199">
        <v>0</v>
      </c>
      <c r="BA186" s="5">
        <v>84064.46</v>
      </c>
      <c r="BB186" s="13">
        <v>402816.72</v>
      </c>
      <c r="BC186" s="101">
        <f>MAX(ROUND(IF(F186&lt;4,IF(H186=0,(SUM(Y186:AD186)*Worksheet!$E$26+Y186*Worksheet!$E$27+AR186*Worksheet!$E$39)*-BaseRate,0)),2),MIN(0,-DI186))</f>
        <v>0</v>
      </c>
      <c r="BD186" s="101">
        <f>MAX(ROUND(IF(F186=4,0,IF(I186=0,0,ROUND(SUM(Y186:AD186)*Worksheet!$E$28,2)*-BaseRate)),2),MIN(0,-DI186-BC186))</f>
        <v>-1046.97</v>
      </c>
      <c r="BE186" s="130">
        <f t="shared" si="134"/>
        <v>0</v>
      </c>
      <c r="BF186" s="130">
        <f t="shared" si="135"/>
        <v>1406</v>
      </c>
      <c r="BG186" s="73"/>
      <c r="BH186" s="118">
        <f t="shared" si="136"/>
        <v>79615.78</v>
      </c>
      <c r="BI186" s="118">
        <f t="shared" si="137"/>
        <v>20562.82</v>
      </c>
      <c r="BJ186" s="232">
        <f>IFERROR(ROUND(IF(AND(BB186*1.12&lt;N186*60/1000,N186/CL186&lt;STVPP*0.2),(CL186*STVPP*0.2*Worksheet!$F$88/1000-BB186*1.12)*PropTaxAdj,IF(BB186*1.12&lt;N186*60/1000,(N186*60/1000-BB186*1.12)*PropTaxAdj,0)),2),0)</f>
        <v>0</v>
      </c>
      <c r="BK186" s="116">
        <f>ROUND(IF($F186=4,0,Y186*Worksheet!$E$16),2)</f>
        <v>0</v>
      </c>
      <c r="BL186" s="116">
        <f>ROUND(IF($F186=4,0,Z186*Worksheet!$E$17),2)</f>
        <v>3</v>
      </c>
      <c r="BM186" s="116">
        <f>ROUND(IF($F186=4,0,AA186*Worksheet!$E$18),2)</f>
        <v>24</v>
      </c>
      <c r="BN186" s="116">
        <f>ROUND(IF($F186=4,0,AB186*Worksheet!$E$19),2)</f>
        <v>9</v>
      </c>
      <c r="BO186" s="116">
        <f>ROUND(IF($F186=4,0,AC186*Worksheet!$E$20),2)</f>
        <v>11</v>
      </c>
      <c r="BP186" s="116">
        <f>ROUND(AD186*Worksheet!$E$21,2)</f>
        <v>0</v>
      </c>
      <c r="BQ186" s="116">
        <f t="shared" si="105"/>
        <v>47</v>
      </c>
      <c r="BR186" s="116">
        <f>ROUND(AD186*Worksheet!$E$25,2)</f>
        <v>0</v>
      </c>
      <c r="BS186" s="116">
        <f>ROUND(SUM(BQ186)*Worksheet!$E$26,2)</f>
        <v>4.1399999999999997</v>
      </c>
      <c r="BT186" s="116">
        <f>ROUND(Y186*Worksheet!$E$27,2)</f>
        <v>0</v>
      </c>
      <c r="BU186" s="116">
        <f>ROUND(AO186*Worksheet!$E$29,2)</f>
        <v>0</v>
      </c>
      <c r="BV186" s="116">
        <f>ROUND(AP186*Worksheet!$E$30,2)</f>
        <v>0</v>
      </c>
      <c r="BW186" s="116">
        <f>ROUND(IF($I186&lt;&gt;0,$BQ186*Worksheet!$E$28,0),2)</f>
        <v>0.09</v>
      </c>
      <c r="BX186" s="116">
        <f>ROUND(AE186*Worksheet!$E$31,2)</f>
        <v>0</v>
      </c>
      <c r="BY186" s="116">
        <f>ROUND(AF186*Worksheet!$E$32,2)</f>
        <v>0.01</v>
      </c>
      <c r="BZ186" s="116">
        <f>ROUND(AG186*Worksheet!$E$33,2)</f>
        <v>0</v>
      </c>
      <c r="CA186" s="116">
        <f>ROUND(ROUND(AH186*BQ186,2)*Worksheet!$E$34,2)</f>
        <v>0.33</v>
      </c>
      <c r="CB186" s="116">
        <f>ROUND(AI186*Worksheet!$E$35,2)</f>
        <v>0</v>
      </c>
      <c r="CC186" s="116">
        <f>ROUND(AJ186*Worksheet!$E$36,2)</f>
        <v>0</v>
      </c>
      <c r="CD186" s="116">
        <f>ROUND(AQ186*Worksheet!$E$38,2)</f>
        <v>0</v>
      </c>
      <c r="CE186" s="116">
        <f>ROUND(AR186*Worksheet!$E$39,2)</f>
        <v>0</v>
      </c>
      <c r="CF186" s="116">
        <f>IF(AND(L186&gt;275,SUM(Y186:AD186)&lt;100),ROUND(SUM(Y186:AD186)*Worksheet!$E$41,2),0)</f>
        <v>0</v>
      </c>
      <c r="CG186" s="116">
        <f>IF(AND(L186&gt;600,SUM(Y186:AD186)&lt;50),ROUND((50-SUM(Y186:AD186))*(Worksheet!$E$41+1),2),0)</f>
        <v>0</v>
      </c>
      <c r="CH186" s="116">
        <f t="shared" si="106"/>
        <v>51.57</v>
      </c>
      <c r="CI186" s="116">
        <f t="shared" si="142"/>
        <v>0</v>
      </c>
      <c r="CJ186" s="116">
        <f t="shared" si="143"/>
        <v>51.57</v>
      </c>
      <c r="CK186" s="95">
        <f t="shared" si="138"/>
        <v>1.67</v>
      </c>
      <c r="CL186" s="116">
        <f t="shared" si="144"/>
        <v>86.12</v>
      </c>
      <c r="CM186" s="116">
        <f t="shared" si="145"/>
        <v>86.12</v>
      </c>
      <c r="CN186" s="116">
        <f t="shared" si="139"/>
        <v>1001833.96</v>
      </c>
      <c r="CO186" s="131">
        <f>ROUND(IF(F186=4,0,(MAX(ROUND(MAX((BI186*MIN(CL186,K186)*Worksheet!$D$126)+MAX(CL186-K186,0)*Worksheet!$F$50,SUM(J186)),2),SUM(CN186))-SUM(CN186))*MinAdj),2)</f>
        <v>74415.69</v>
      </c>
      <c r="CP186" s="116">
        <f t="shared" si="140"/>
        <v>1076249.6499999999</v>
      </c>
      <c r="CQ186" s="131">
        <f>IF(CL186=0,0,-MIN(CP186,MIN(CP186,ROUND(IF(ROUND(IF(CL186=0,0,N186/CL186),2)&lt;STVPP*0.2,STVPP*0.2*CL186*Worksheet!$F$88/1000,N186*Worksheet!$F$88/1000),2))))</f>
        <v>-411390.66</v>
      </c>
      <c r="CR186" s="131">
        <f>-MIN(SUM(CP186,CQ186),IF($P186=0,(ROUND(Worksheet!$E$77*S186,2)+ROUND(Worksheet!$E$78*T186,2)+ROUND(Worksheet!$E$79*U186,2)+ROUND(Worksheet!$E$80*V186,2)+ROUND(Worksheet!$E$81*W186,2)+ROUND(Worksheet!$E$82*X186,2)),(ROUND(ROUND(S186*ROUND((1-$O186/$P186),4),2)*Worksheet!$E$77,2)+ROUND(ROUND(T186*ROUND((1-$O186/$P186),4),2)*Worksheet!$E$78,2)+ROUND(ROUND(U186*ROUND((1-$O186/$P186),4),2)*Worksheet!$E$79,2)+ROUND(ROUND(V186*ROUND((1-$O186/$P186),4),2)*Worksheet!$E$80,2)+ROUND(ROUND(W186*ROUND((1-$O186/$P186),4),2)*Worksheet!$E$81,2)+ROUND(ROUND(X186*ROUND((1-$O186/$P186),4),2)*Worksheet!$E$82,2))))</f>
        <v>-11271.779999999999</v>
      </c>
      <c r="CS186" s="116">
        <f t="shared" si="107"/>
        <v>653587.21</v>
      </c>
      <c r="CT186" s="116">
        <f>ROUND(MIN(BA186,ROUND((ROUND(AS186*Worksheet!$E$104,2)+ROUND(AV186*Worksheet!$E$107,2)+ROUND(AT186*Worksheet!$E$105,2)+ROUND(AW186*Worksheet!$E$108,2)+ROUND(AU186*Worksheet!$E$106,2)+ROUND(AX186*Worksheet!$E$109,2)+ROUND(AY186*Worksheet!$E$110,2)+ROUND(AZ186*Worksheet!$E$111,2))*Worksheet!$D$114,2))*BaseRate,2)</f>
        <v>87363.83</v>
      </c>
      <c r="CU186" s="121">
        <v>0</v>
      </c>
      <c r="CV186" s="121">
        <v>0</v>
      </c>
      <c r="CW186" s="121">
        <v>0</v>
      </c>
      <c r="CX186" s="121">
        <v>0</v>
      </c>
      <c r="CY186" s="121">
        <v>0</v>
      </c>
      <c r="DA186" s="116">
        <f t="shared" si="108"/>
        <v>0</v>
      </c>
      <c r="DB186" s="116">
        <f>MAX(-CT186,MIN(0,ROUND($R186*EFBPercent+EFBAdd,2)-$Q186),MIN(0,SUM($CS186:CS186)+MIN(0,ROUND($R186*EFBPercent+EFBAdd,2)-$Q186)))</f>
        <v>0</v>
      </c>
      <c r="DC186" s="192">
        <f>IF(CU186&lt;0,0,MAX(-CU186,MIN(0,ROUND($R186*EFBPercent+EFBAdd,2)-$Q186),MIN(0,SUM($CS186:CT186)+MIN(0,ROUND($R186*EFBPercent+EFBAdd,2)-$Q186))))</f>
        <v>0</v>
      </c>
      <c r="DD186" s="192">
        <f>IF(CV186&lt;0,0,MAX(-CV186,MIN(0,ROUND($R186*EFBPercent+EFBAdd,2)-$Q186),MIN(0,SUM($CS186:CU186)+MIN(0,ROUND($R186*EFBPercent+EFBAdd,2)-$Q186))))</f>
        <v>0</v>
      </c>
      <c r="DE186" s="192">
        <f>IF(CW186&lt;0,0,MAX(-CW186,MIN(0,ROUND($R186*EFBPercent+EFBAdd,2)-$Q186),MIN(0,SUM($CS186:CV186)+MIN(0,ROUND($R186*EFBPercent+EFBAdd,2)-$Q186))))</f>
        <v>0</v>
      </c>
      <c r="DF186" s="192">
        <f>IF(CX186&lt;0,0,MAX(-CX186,MIN(0,ROUND($R186*EFBPercent+EFBAdd,2)-$Q186),MIN(0,SUM($CS186:CW186)+MIN(0,ROUND($R186*EFBPercent+EFBAdd,2)-$Q186))))</f>
        <v>0</v>
      </c>
      <c r="DG186" s="116">
        <f>MAX(-CY186,MIN(0,ROUND($R186*EFBPercent+EFBAdd,2)-$Q186),MIN(0,SUM($CS186:CX186)+MIN(0,ROUND($R186*EFBPercent+EFBAdd,2)-$Q186)))</f>
        <v>0</v>
      </c>
      <c r="DI186" s="73">
        <f t="shared" si="109"/>
        <v>653587.21</v>
      </c>
      <c r="DJ186" s="73">
        <f t="shared" si="110"/>
        <v>87363.83</v>
      </c>
      <c r="DK186" s="73">
        <f t="shared" si="111"/>
        <v>0</v>
      </c>
      <c r="DL186" s="73">
        <f t="shared" si="112"/>
        <v>0</v>
      </c>
      <c r="DM186" s="73">
        <f t="shared" si="113"/>
        <v>0</v>
      </c>
      <c r="DN186" s="73">
        <f t="shared" si="114"/>
        <v>0</v>
      </c>
      <c r="DO186" s="73">
        <f t="shared" si="115"/>
        <v>0</v>
      </c>
      <c r="DP186" s="73"/>
      <c r="DQ186" s="73"/>
    </row>
    <row r="187" spans="1:121" ht="10.199999999999999" x14ac:dyDescent="0.2">
      <c r="A187" s="4" t="s">
        <v>1012</v>
      </c>
      <c r="B187" s="72">
        <v>1131</v>
      </c>
      <c r="C187" s="13" t="s">
        <v>1015</v>
      </c>
      <c r="D187" s="4">
        <v>2027</v>
      </c>
      <c r="E187" s="4" t="s">
        <v>1013</v>
      </c>
      <c r="F187" s="4">
        <v>1</v>
      </c>
      <c r="G187" s="4" t="s">
        <v>683</v>
      </c>
      <c r="H187" s="4">
        <v>100</v>
      </c>
      <c r="I187" s="4" t="s">
        <v>854</v>
      </c>
      <c r="J187" s="5">
        <v>4528700.5399999991</v>
      </c>
      <c r="K187" s="5">
        <v>469.49</v>
      </c>
      <c r="L187" s="5">
        <v>405.25</v>
      </c>
      <c r="M187" s="5">
        <v>0</v>
      </c>
      <c r="N187" s="5">
        <v>18741938</v>
      </c>
      <c r="O187" s="5">
        <v>36.72</v>
      </c>
      <c r="P187" s="5">
        <v>114.72</v>
      </c>
      <c r="Q187" s="5">
        <v>0</v>
      </c>
      <c r="R187" s="5">
        <v>0</v>
      </c>
      <c r="S187" s="5">
        <v>9688.16</v>
      </c>
      <c r="T187" s="5">
        <v>0</v>
      </c>
      <c r="U187" s="5">
        <v>0</v>
      </c>
      <c r="V187" s="5">
        <v>20590.099999999999</v>
      </c>
      <c r="W187" s="5">
        <v>1234.67</v>
      </c>
      <c r="X187" s="5">
        <v>41461.129999999997</v>
      </c>
      <c r="Y187" s="5">
        <v>0.85</v>
      </c>
      <c r="Z187" s="5">
        <v>34</v>
      </c>
      <c r="AA187" s="5">
        <v>217</v>
      </c>
      <c r="AB187" s="5">
        <v>64</v>
      </c>
      <c r="AC187" s="5">
        <v>134</v>
      </c>
      <c r="AD187" s="5">
        <v>0</v>
      </c>
      <c r="AE187" s="5">
        <v>0</v>
      </c>
      <c r="AF187" s="5">
        <v>1</v>
      </c>
      <c r="AG187" s="5">
        <v>5.6899999999999995</v>
      </c>
      <c r="AH187" s="5">
        <v>0.32300000000000001</v>
      </c>
      <c r="AI187" s="5">
        <v>0</v>
      </c>
      <c r="AJ187" s="5">
        <v>0</v>
      </c>
      <c r="AK187" s="5">
        <v>0</v>
      </c>
      <c r="AL187" s="5">
        <v>440.99</v>
      </c>
      <c r="AM187" s="5">
        <v>8.2899999999999636</v>
      </c>
      <c r="AN187" s="5">
        <v>449</v>
      </c>
      <c r="AO187" s="5">
        <f t="shared" si="141"/>
        <v>0</v>
      </c>
      <c r="AP187" s="5">
        <f t="shared" si="152"/>
        <v>0</v>
      </c>
      <c r="AQ187" s="5">
        <v>10.06</v>
      </c>
      <c r="AR187" s="5">
        <v>0.03</v>
      </c>
      <c r="AS187" s="5">
        <v>7790</v>
      </c>
      <c r="AT187" s="5">
        <v>100870</v>
      </c>
      <c r="AU187" s="5">
        <v>216</v>
      </c>
      <c r="AV187" s="5">
        <v>1898</v>
      </c>
      <c r="AW187" s="5">
        <v>405.25</v>
      </c>
      <c r="AX187" s="5">
        <v>1</v>
      </c>
      <c r="AY187" s="199">
        <v>0</v>
      </c>
      <c r="AZ187" s="199">
        <v>0</v>
      </c>
      <c r="BA187" s="5">
        <v>293909.49</v>
      </c>
      <c r="BB187" s="13">
        <v>1044952.02</v>
      </c>
      <c r="BC187" s="101">
        <f>MAX(ROUND(IF(F187&lt;4,IF(H187=0,(SUM(Y187:AD187)*Worksheet!$E$26+Y187*Worksheet!$E$27+AR187*Worksheet!$E$39)*-BaseRate,0)),2),MIN(0,-DI187))</f>
        <v>0</v>
      </c>
      <c r="BD187" s="101">
        <f>MAX(ROUND(IF(F187=4,0,IF(I187=0,0,ROUND(SUM(Y187:AD187)*Worksheet!$E$28,2)*-BaseRate)),2),MIN(0,-DI187-BC187))</f>
        <v>-10469.700000000001</v>
      </c>
      <c r="BE187" s="130">
        <f t="shared" si="134"/>
        <v>0</v>
      </c>
      <c r="BF187" s="130">
        <f t="shared" si="135"/>
        <v>1406</v>
      </c>
      <c r="BG187" s="73"/>
      <c r="BH187" s="118">
        <f t="shared" si="136"/>
        <v>36685.599999999999</v>
      </c>
      <c r="BI187" s="118">
        <f t="shared" si="137"/>
        <v>9646</v>
      </c>
      <c r="BJ187" s="232">
        <f>IFERROR(ROUND(IF(AND(BB187*1.12&lt;N187*60/1000,N187/CL187&lt;STVPP*0.2),(CL187*STVPP*0.2*Worksheet!$F$88/1000-BB187*1.12)*PropTaxAdj,IF(BB187*1.12&lt;N187*60/1000,(N187*60/1000-BB187*1.12)*PropTaxAdj,0)),2),0)</f>
        <v>0</v>
      </c>
      <c r="BK187" s="116">
        <f>ROUND(IF($F187=4,0,Y187*Worksheet!$E$16),2)</f>
        <v>0.85</v>
      </c>
      <c r="BL187" s="116">
        <f>ROUND(IF($F187=4,0,Z187*Worksheet!$E$17),2)</f>
        <v>34</v>
      </c>
      <c r="BM187" s="116">
        <f>ROUND(IF($F187=4,0,AA187*Worksheet!$E$18),2)</f>
        <v>217</v>
      </c>
      <c r="BN187" s="116">
        <f>ROUND(IF($F187=4,0,AB187*Worksheet!$E$19),2)</f>
        <v>64</v>
      </c>
      <c r="BO187" s="116">
        <f>ROUND(IF($F187=4,0,AC187*Worksheet!$E$20),2)</f>
        <v>134</v>
      </c>
      <c r="BP187" s="116">
        <f>ROUND(AD187*Worksheet!$E$21,2)</f>
        <v>0</v>
      </c>
      <c r="BQ187" s="116">
        <f t="shared" ref="BQ187:BQ210" si="153">SUM(BK187:BP187)</f>
        <v>449.85</v>
      </c>
      <c r="BR187" s="116">
        <f>ROUND(AD187*Worksheet!$E$25,2)</f>
        <v>0</v>
      </c>
      <c r="BS187" s="116">
        <f>ROUND(SUM(BQ187)*Worksheet!$E$26,2)</f>
        <v>39.590000000000003</v>
      </c>
      <c r="BT187" s="116">
        <f>ROUND(Y187*Worksheet!$E$27,2)</f>
        <v>0.14000000000000001</v>
      </c>
      <c r="BU187" s="116">
        <f>ROUND(AO187*Worksheet!$E$29,2)</f>
        <v>0</v>
      </c>
      <c r="BV187" s="116">
        <f>ROUND(AP187*Worksheet!$E$30,2)</f>
        <v>0</v>
      </c>
      <c r="BW187" s="116">
        <f>ROUND(IF($I187&lt;&gt;0,$BQ187*Worksheet!$E$28,0),2)</f>
        <v>0.9</v>
      </c>
      <c r="BX187" s="116">
        <f>ROUND(AE187*Worksheet!$E$31,2)</f>
        <v>0</v>
      </c>
      <c r="BY187" s="116">
        <f>ROUND(AF187*Worksheet!$E$32,2)</f>
        <v>0.28000000000000003</v>
      </c>
      <c r="BZ187" s="116">
        <f>ROUND(AG187*Worksheet!$E$33,2)</f>
        <v>0.4</v>
      </c>
      <c r="CA187" s="116">
        <f>ROUND(ROUND(AH187*BQ187,2)*Worksheet!$E$34,2)</f>
        <v>3.63</v>
      </c>
      <c r="CB187" s="116">
        <f>ROUND(AI187*Worksheet!$E$35,2)</f>
        <v>0</v>
      </c>
      <c r="CC187" s="116">
        <f>ROUND(AJ187*Worksheet!$E$36,2)</f>
        <v>0</v>
      </c>
      <c r="CD187" s="116">
        <f>ROUND(AQ187*Worksheet!$E$38,2)</f>
        <v>6.04</v>
      </c>
      <c r="CE187" s="116">
        <f>ROUND(AR187*Worksheet!$E$39,2)</f>
        <v>0.03</v>
      </c>
      <c r="CF187" s="116">
        <f>IF(AND(L187&gt;275,SUM(Y187:AD187)&lt;100),ROUND(SUM(Y187:AD187)*Worksheet!$E$41,2),0)</f>
        <v>0</v>
      </c>
      <c r="CG187" s="116">
        <f>IF(AND(L187&gt;600,SUM(Y187:AD187)&lt;50),ROUND((50-SUM(Y187:AD187))*(Worksheet!$E$41+1),2),0)</f>
        <v>0</v>
      </c>
      <c r="CH187" s="116">
        <f t="shared" ref="CH187:CH210" si="154">SUM(BQ187:CG187)</f>
        <v>500.85999999999996</v>
      </c>
      <c r="CI187" s="116">
        <f t="shared" si="142"/>
        <v>0</v>
      </c>
      <c r="CJ187" s="116">
        <f t="shared" si="143"/>
        <v>500.85999999999996</v>
      </c>
      <c r="CK187" s="95">
        <f t="shared" si="138"/>
        <v>1.02</v>
      </c>
      <c r="CL187" s="116">
        <f t="shared" si="144"/>
        <v>510.88</v>
      </c>
      <c r="CM187" s="116">
        <f t="shared" si="145"/>
        <v>510.88</v>
      </c>
      <c r="CN187" s="116">
        <f t="shared" si="139"/>
        <v>5943067.04</v>
      </c>
      <c r="CO187" s="131">
        <f>ROUND(IF(F187=4,0,(MAX(ROUND(MAX((BI187*MIN(CL187,K187)*Worksheet!$D$126)+MAX(CL187-K187,0)*Worksheet!$F$50,SUM(J187)),2),SUM(CN187))-SUM(CN187))*MinAdj),2)</f>
        <v>0</v>
      </c>
      <c r="CP187" s="116">
        <f t="shared" si="140"/>
        <v>5943067.04</v>
      </c>
      <c r="CQ187" s="131">
        <f>IF(CL187=0,0,-MIN(CP187,MIN(CP187,ROUND(IF(ROUND(IF(CL187=0,0,N187/CL187),2)&lt;STVPP*0.2,STVPP*0.2*CL187*Worksheet!$F$88/1000,N187*Worksheet!$F$88/1000),2))))</f>
        <v>-1124516.28</v>
      </c>
      <c r="CR187" s="131">
        <f>-MIN(SUM(CP187,CQ187),IF($P187=0,(ROUND(Worksheet!$E$77*S187,2)+ROUND(Worksheet!$E$78*T187,2)+ROUND(Worksheet!$E$79*U187,2)+ROUND(Worksheet!$E$80*V187,2)+ROUND(Worksheet!$E$81*W187,2)+ROUND(Worksheet!$E$82*X187,2)),(ROUND(ROUND(S187*ROUND((1-$O187/$P187),4),2)*Worksheet!$E$77,2)+ROUND(ROUND(T187*ROUND((1-$O187/$P187),4),2)*Worksheet!$E$78,2)+ROUND(ROUND(U187*ROUND((1-$O187/$P187),4),2)*Worksheet!$E$79,2)+ROUND(ROUND(V187*ROUND((1-$O187/$P187),4),2)*Worksheet!$E$80,2)+ROUND(ROUND(W187*ROUND((1-$O187/$P187),4),2)*Worksheet!$E$81,2)+ROUND(ROUND(X187*ROUND((1-$O187/$P187),4),2)*Worksheet!$E$82,2))))</f>
        <v>-37211.31</v>
      </c>
      <c r="CS187" s="116">
        <f t="shared" ref="CS187:CS210" si="155">SUM(CP187:CR187)</f>
        <v>4781339.45</v>
      </c>
      <c r="CT187" s="116">
        <f>ROUND(MIN(BA187,ROUND((ROUND(AS187*Worksheet!$E$104,2)+ROUND(AV187*Worksheet!$E$107,2)+ROUND(AT187*Worksheet!$E$105,2)+ROUND(AW187*Worksheet!$E$108,2)+ROUND(AU187*Worksheet!$E$106,2)+ROUND(AX187*Worksheet!$E$109,2)+ROUND(AY187*Worksheet!$E$110,2)+ROUND(AZ187*Worksheet!$E$111,2))*Worksheet!$D$114,2))*BaseRate,2)</f>
        <v>150182.03</v>
      </c>
      <c r="CU187" s="121">
        <v>0</v>
      </c>
      <c r="CV187" s="121">
        <v>0</v>
      </c>
      <c r="CW187" s="121">
        <v>0</v>
      </c>
      <c r="CX187" s="121">
        <v>0</v>
      </c>
      <c r="CY187" s="121">
        <v>0</v>
      </c>
      <c r="DA187" s="116">
        <f t="shared" ref="DA187:DA210" si="156">MAX(-CS187,MIN(0,ROUND($R187*EFBPercent+EFBAdd,2)-$Q187))</f>
        <v>0</v>
      </c>
      <c r="DB187" s="116">
        <f>MAX(-CT187,MIN(0,ROUND($R187*EFBPercent+EFBAdd,2)-$Q187),MIN(0,SUM($CS187:CS187)+MIN(0,ROUND($R187*EFBPercent+EFBAdd,2)-$Q187)))</f>
        <v>0</v>
      </c>
      <c r="DC187" s="192">
        <f>IF(CU187&lt;0,0,MAX(-CU187,MIN(0,ROUND($R187*EFBPercent+EFBAdd,2)-$Q187),MIN(0,SUM($CS187:CT187)+MIN(0,ROUND($R187*EFBPercent+EFBAdd,2)-$Q187))))</f>
        <v>0</v>
      </c>
      <c r="DD187" s="192">
        <f>IF(CV187&lt;0,0,MAX(-CV187,MIN(0,ROUND($R187*EFBPercent+EFBAdd,2)-$Q187),MIN(0,SUM($CS187:CU187)+MIN(0,ROUND($R187*EFBPercent+EFBAdd,2)-$Q187))))</f>
        <v>0</v>
      </c>
      <c r="DE187" s="192">
        <f>IF(CW187&lt;0,0,MAX(-CW187,MIN(0,ROUND($R187*EFBPercent+EFBAdd,2)-$Q187),MIN(0,SUM($CS187:CV187)+MIN(0,ROUND($R187*EFBPercent+EFBAdd,2)-$Q187))))</f>
        <v>0</v>
      </c>
      <c r="DF187" s="192">
        <f>IF(CX187&lt;0,0,MAX(-CX187,MIN(0,ROUND($R187*EFBPercent+EFBAdd,2)-$Q187),MIN(0,SUM($CS187:CW187)+MIN(0,ROUND($R187*EFBPercent+EFBAdd,2)-$Q187))))</f>
        <v>0</v>
      </c>
      <c r="DG187" s="116">
        <f>MAX(-CY187,MIN(0,ROUND($R187*EFBPercent+EFBAdd,2)-$Q187),MIN(0,SUM($CS187:CX187)+MIN(0,ROUND($R187*EFBPercent+EFBAdd,2)-$Q187)))</f>
        <v>0</v>
      </c>
      <c r="DI187" s="73">
        <f t="shared" ref="DI187:DI210" si="157">+CS187+DA187</f>
        <v>4781339.45</v>
      </c>
      <c r="DJ187" s="73">
        <f t="shared" ref="DJ187:DJ210" si="158">+CT187+DB187</f>
        <v>150182.03</v>
      </c>
      <c r="DK187" s="73">
        <f t="shared" ref="DK187:DK210" si="159">+CU187+DC187</f>
        <v>0</v>
      </c>
      <c r="DL187" s="73">
        <f t="shared" ref="DL187:DL210" si="160">+CV187+DD187</f>
        <v>0</v>
      </c>
      <c r="DM187" s="73">
        <f t="shared" ref="DM187:DM210" si="161">+CW187+DE187</f>
        <v>0</v>
      </c>
      <c r="DN187" s="73">
        <f t="shared" ref="DN187:DN210" si="162">+CX187+DF187</f>
        <v>0</v>
      </c>
      <c r="DO187" s="73">
        <f t="shared" ref="DO187:DO210" si="163">+CY187+DG187</f>
        <v>0</v>
      </c>
      <c r="DP187" s="73"/>
      <c r="DQ187" s="73"/>
    </row>
    <row r="188" spans="1:121" ht="10.199999999999999" x14ac:dyDescent="0.2">
      <c r="A188" s="4" t="s">
        <v>1123</v>
      </c>
      <c r="B188" s="72">
        <v>1185</v>
      </c>
      <c r="C188" s="13" t="s">
        <v>1125</v>
      </c>
      <c r="D188" s="4">
        <v>2027</v>
      </c>
      <c r="E188" s="4" t="s">
        <v>1124</v>
      </c>
      <c r="F188" s="4">
        <v>1</v>
      </c>
      <c r="G188" s="4" t="s">
        <v>683</v>
      </c>
      <c r="H188" s="4">
        <v>100</v>
      </c>
      <c r="I188" s="4" t="s">
        <v>854</v>
      </c>
      <c r="J188" s="5">
        <v>10474930.459999999</v>
      </c>
      <c r="K188" s="5">
        <v>1048.8900000000001</v>
      </c>
      <c r="L188" s="5">
        <v>316.75</v>
      </c>
      <c r="M188" s="5">
        <v>3</v>
      </c>
      <c r="N188" s="5">
        <v>28427288</v>
      </c>
      <c r="O188" s="5">
        <v>42.04</v>
      </c>
      <c r="P188" s="5">
        <v>126.4</v>
      </c>
      <c r="Q188" s="5">
        <v>0</v>
      </c>
      <c r="R188" s="5">
        <v>0</v>
      </c>
      <c r="S188" s="5">
        <v>6250</v>
      </c>
      <c r="T188" s="5">
        <v>0</v>
      </c>
      <c r="U188" s="5">
        <v>0</v>
      </c>
      <c r="V188" s="5">
        <v>21324.22</v>
      </c>
      <c r="W188" s="5">
        <v>11090.310000000001</v>
      </c>
      <c r="X188" s="5">
        <v>59362.58</v>
      </c>
      <c r="Y188" s="5">
        <v>21.93</v>
      </c>
      <c r="Z188" s="5">
        <v>54</v>
      </c>
      <c r="AA188" s="5">
        <v>383</v>
      </c>
      <c r="AB188" s="5">
        <v>143</v>
      </c>
      <c r="AC188" s="5">
        <v>286</v>
      </c>
      <c r="AD188" s="5">
        <v>0</v>
      </c>
      <c r="AE188" s="5">
        <v>5.4</v>
      </c>
      <c r="AF188" s="5">
        <v>8.68</v>
      </c>
      <c r="AG188" s="5">
        <v>6.4399999999999995</v>
      </c>
      <c r="AH188" s="5">
        <v>0.51100000000000001</v>
      </c>
      <c r="AI188" s="5">
        <v>3.09</v>
      </c>
      <c r="AJ188" s="5">
        <v>0</v>
      </c>
      <c r="AK188" s="5">
        <v>0</v>
      </c>
      <c r="AL188" s="5">
        <v>850.76</v>
      </c>
      <c r="AM188" s="5">
        <v>16.580000000000041</v>
      </c>
      <c r="AN188" s="5">
        <v>866</v>
      </c>
      <c r="AO188" s="5">
        <f t="shared" si="141"/>
        <v>0</v>
      </c>
      <c r="AP188" s="5">
        <f t="shared" si="152"/>
        <v>0</v>
      </c>
      <c r="AQ188" s="5">
        <v>52.09</v>
      </c>
      <c r="AR188" s="5">
        <v>3.06</v>
      </c>
      <c r="AS188" s="5">
        <v>0</v>
      </c>
      <c r="AT188" s="5">
        <v>173324</v>
      </c>
      <c r="AU188" s="5">
        <v>0</v>
      </c>
      <c r="AV188" s="5">
        <v>6451</v>
      </c>
      <c r="AW188" s="5">
        <v>316.75</v>
      </c>
      <c r="AX188" s="5">
        <v>3</v>
      </c>
      <c r="AY188" s="199">
        <v>0</v>
      </c>
      <c r="AZ188" s="199">
        <v>0</v>
      </c>
      <c r="BA188" s="5">
        <v>478880.11</v>
      </c>
      <c r="BB188" s="13">
        <v>1620190.38</v>
      </c>
      <c r="BC188" s="101">
        <f>MAX(ROUND(IF(F188&lt;4,IF(H188=0,(SUM(Y188:AD188)*Worksheet!$E$26+Y188*Worksheet!$E$27+AR188*Worksheet!$E$39)*-BaseRate,0)),2),MIN(0,-DI188))</f>
        <v>0</v>
      </c>
      <c r="BD188" s="101">
        <f>MAX(ROUND(IF(F188=4,0,IF(I188=0,0,ROUND(SUM(Y188:AD188)*Worksheet!$E$28,2)*-BaseRate)),2),MIN(0,-DI188-BC188))</f>
        <v>-20706.740000000002</v>
      </c>
      <c r="BE188" s="130">
        <f t="shared" si="134"/>
        <v>0</v>
      </c>
      <c r="BF188" s="130">
        <f t="shared" si="135"/>
        <v>1406</v>
      </c>
      <c r="BG188" s="73"/>
      <c r="BH188" s="118">
        <f t="shared" si="136"/>
        <v>26763.41</v>
      </c>
      <c r="BI188" s="118">
        <f t="shared" si="137"/>
        <v>9986.68</v>
      </c>
      <c r="BJ188" s="232">
        <f>IFERROR(ROUND(IF(AND(BB188*1.12&lt;N188*60/1000,N188/CL188&lt;STVPP*0.2),(CL188*STVPP*0.2*Worksheet!$F$88/1000-BB188*1.12)*PropTaxAdj,IF(BB188*1.12&lt;N188*60/1000,(N188*60/1000-BB188*1.12)*PropTaxAdj,0)),2),0)</f>
        <v>0</v>
      </c>
      <c r="BK188" s="116">
        <f>ROUND(IF($F188=4,0,Y188*Worksheet!$E$16),2)</f>
        <v>21.93</v>
      </c>
      <c r="BL188" s="116">
        <f>ROUND(IF($F188=4,0,Z188*Worksheet!$E$17),2)</f>
        <v>54</v>
      </c>
      <c r="BM188" s="116">
        <f>ROUND(IF($F188=4,0,AA188*Worksheet!$E$18),2)</f>
        <v>383</v>
      </c>
      <c r="BN188" s="116">
        <f>ROUND(IF($F188=4,0,AB188*Worksheet!$E$19),2)</f>
        <v>143</v>
      </c>
      <c r="BO188" s="116">
        <f>ROUND(IF($F188=4,0,AC188*Worksheet!$E$20),2)</f>
        <v>286</v>
      </c>
      <c r="BP188" s="116">
        <f>ROUND(AD188*Worksheet!$E$21,2)</f>
        <v>0</v>
      </c>
      <c r="BQ188" s="116">
        <f>SUM(BK188:BP188)</f>
        <v>887.93000000000006</v>
      </c>
      <c r="BR188" s="116">
        <f>ROUND(AD188*Worksheet!$E$25,2)</f>
        <v>0</v>
      </c>
      <c r="BS188" s="116">
        <f>ROUND(SUM(BQ188)*Worksheet!$E$26,2)</f>
        <v>78.14</v>
      </c>
      <c r="BT188" s="116">
        <f>ROUND(Y188*Worksheet!$E$27,2)</f>
        <v>3.73</v>
      </c>
      <c r="BU188" s="116">
        <f>ROUND(AO188*Worksheet!$E$29,2)</f>
        <v>0</v>
      </c>
      <c r="BV188" s="116">
        <f>ROUND(AP188*Worksheet!$E$30,2)</f>
        <v>0</v>
      </c>
      <c r="BW188" s="116">
        <f>ROUND(IF($I188&lt;&gt;0,$BQ188*Worksheet!$E$28,0),2)</f>
        <v>1.78</v>
      </c>
      <c r="BX188" s="116">
        <f>ROUND(AE188*Worksheet!$E$31,2)</f>
        <v>2.16</v>
      </c>
      <c r="BY188" s="116">
        <f>ROUND(AF188*Worksheet!$E$32,2)</f>
        <v>2.4300000000000002</v>
      </c>
      <c r="BZ188" s="116">
        <f>ROUND(AG188*Worksheet!$E$33,2)</f>
        <v>0.45</v>
      </c>
      <c r="CA188" s="116">
        <f>ROUND(ROUND(AH188*BQ188,2)*Worksheet!$E$34,2)</f>
        <v>11.34</v>
      </c>
      <c r="CB188" s="116">
        <f>ROUND(AI188*Worksheet!$E$35,2)</f>
        <v>0.62</v>
      </c>
      <c r="CC188" s="116">
        <f>ROUND(AJ188*Worksheet!$E$36,2)</f>
        <v>0</v>
      </c>
      <c r="CD188" s="116">
        <f>ROUND(AQ188*Worksheet!$E$38,2)</f>
        <v>31.25</v>
      </c>
      <c r="CE188" s="116">
        <f>ROUND(AR188*Worksheet!$E$39,2)</f>
        <v>3.06</v>
      </c>
      <c r="CF188" s="116">
        <f>IF(AND(L188&gt;275,SUM(Y188:AD188)&lt;100),ROUND(SUM(Y188:AD188)*Worksheet!$E$41,2),0)</f>
        <v>0</v>
      </c>
      <c r="CG188" s="116">
        <f>IF(AND(L188&gt;600,SUM(Y188:AD188)&lt;50),ROUND((50-SUM(Y188:AD188))*(Worksheet!$E$41+1),2),0)</f>
        <v>0</v>
      </c>
      <c r="CH188" s="116">
        <f t="shared" si="154"/>
        <v>1022.89</v>
      </c>
      <c r="CI188" s="116">
        <f t="shared" si="142"/>
        <v>0</v>
      </c>
      <c r="CJ188" s="116">
        <f t="shared" si="143"/>
        <v>1022.89</v>
      </c>
      <c r="CK188" s="95">
        <f t="shared" si="138"/>
        <v>1.0384</v>
      </c>
      <c r="CL188" s="116">
        <f t="shared" si="144"/>
        <v>1062.17</v>
      </c>
      <c r="CM188" s="116">
        <f t="shared" si="145"/>
        <v>1062.17</v>
      </c>
      <c r="CN188" s="116">
        <f t="shared" si="139"/>
        <v>12356223.609999999</v>
      </c>
      <c r="CO188" s="131">
        <f>ROUND(IF(F188=4,0,(MAX(ROUND(MAX((BI188*MIN(CL188,K188)*Worksheet!$D$126)+MAX(CL188-K188,0)*Worksheet!$F$50,SUM(J188)),2),SUM(CN188))-SUM(CN188))*MinAdj),2)</f>
        <v>0</v>
      </c>
      <c r="CP188" s="116">
        <f t="shared" si="140"/>
        <v>12356223.609999999</v>
      </c>
      <c r="CQ188" s="131">
        <f>IF(CL188=0,0,-MIN(CP188,MIN(CP188,ROUND(IF(ROUND(IF(CL188=0,0,N188/CL188),2)&lt;STVPP*0.2,STVPP*0.2*CL188*Worksheet!$F$88/1000,N188*Worksheet!$F$88/1000),2))))</f>
        <v>-1705637.28</v>
      </c>
      <c r="CR188" s="131">
        <f>-MIN(SUM(CP188,CQ188),IF($P188=0,(ROUND(Worksheet!$E$77*S188,2)+ROUND(Worksheet!$E$78*T188,2)+ROUND(Worksheet!$E$79*U188,2)+ROUND(Worksheet!$E$80*V188,2)+ROUND(Worksheet!$E$81*W188,2)+ROUND(Worksheet!$E$82*X188,2)),(ROUND(ROUND(S188*ROUND((1-$O188/$P188),4),2)*Worksheet!$E$77,2)+ROUND(ROUND(T188*ROUND((1-$O188/$P188),4),2)*Worksheet!$E$78,2)+ROUND(ROUND(U188*ROUND((1-$O188/$P188),4),2)*Worksheet!$E$79,2)+ROUND(ROUND(V188*ROUND((1-$O188/$P188),4),2)*Worksheet!$E$80,2)+ROUND(ROUND(W188*ROUND((1-$O188/$P188),4),2)*Worksheet!$E$81,2)+ROUND(ROUND(X188*ROUND((1-$O188/$P188),4),2)*Worksheet!$E$82,2))))</f>
        <v>-49067.47</v>
      </c>
      <c r="CS188" s="116">
        <f>SUM(CP188:CR188)</f>
        <v>10601518.859999999</v>
      </c>
      <c r="CT188" s="116">
        <f>ROUND(MIN(BA188,ROUND((ROUND(AS188*Worksheet!$E$104,2)+ROUND(AV188*Worksheet!$E$107,2)+ROUND(AT188*Worksheet!$E$105,2)+ROUND(AW188*Worksheet!$E$108,2)+ROUND(AU188*Worksheet!$E$106,2)+ROUND(AX188*Worksheet!$E$109,2)+ROUND(AY188*Worksheet!$E$110,2)+ROUND(AZ188*Worksheet!$E$111,2))*Worksheet!$D$114,2))*BaseRate,2)</f>
        <v>280471.63</v>
      </c>
      <c r="CU188" s="121">
        <v>0</v>
      </c>
      <c r="CV188" s="121">
        <v>0</v>
      </c>
      <c r="CW188" s="121">
        <v>0</v>
      </c>
      <c r="CX188" s="121">
        <v>0</v>
      </c>
      <c r="CY188" s="121">
        <v>0</v>
      </c>
      <c r="DA188" s="116">
        <f>MAX(-CS188,MIN(0,ROUND($R188*EFBPercent+EFBAdd,2)-$Q188))</f>
        <v>0</v>
      </c>
      <c r="DB188" s="116">
        <f>MAX(-CT188,MIN(0,ROUND($R188*EFBPercent+EFBAdd,2)-$Q188),MIN(0,SUM($CS188:CS188)+MIN(0,ROUND($R188*EFBPercent+EFBAdd,2)-$Q188)))</f>
        <v>0</v>
      </c>
      <c r="DC188" s="192">
        <f>IF(CU188&lt;0,0,MAX(-CU188,MIN(0,ROUND($R188*EFBPercent+EFBAdd,2)-$Q188),MIN(0,SUM($CS188:CT188)+MIN(0,ROUND($R188*EFBPercent+EFBAdd,2)-$Q188))))</f>
        <v>0</v>
      </c>
      <c r="DD188" s="192">
        <f>IF(CV188&lt;0,0,MAX(-CV188,MIN(0,ROUND($R188*EFBPercent+EFBAdd,2)-$Q188),MIN(0,SUM($CS188:CU188)+MIN(0,ROUND($R188*EFBPercent+EFBAdd,2)-$Q188))))</f>
        <v>0</v>
      </c>
      <c r="DE188" s="192">
        <f>IF(CW188&lt;0,0,MAX(-CW188,MIN(0,ROUND($R188*EFBPercent+EFBAdd,2)-$Q188),MIN(0,SUM($CS188:CV188)+MIN(0,ROUND($R188*EFBPercent+EFBAdd,2)-$Q188))))</f>
        <v>0</v>
      </c>
      <c r="DF188" s="192">
        <f>IF(CX188&lt;0,0,MAX(-CX188,MIN(0,ROUND($R188*EFBPercent+EFBAdd,2)-$Q188),MIN(0,SUM($CS188:CW188)+MIN(0,ROUND($R188*EFBPercent+EFBAdd,2)-$Q188))))</f>
        <v>0</v>
      </c>
      <c r="DG188" s="116">
        <f>MAX(-CY188,MIN(0,ROUND($R188*EFBPercent+EFBAdd,2)-$Q188),MIN(0,SUM($CS188:CX188)+MIN(0,ROUND($R188*EFBPercent+EFBAdd,2)-$Q188)))</f>
        <v>0</v>
      </c>
      <c r="DI188" s="73">
        <f t="shared" ref="DI188:DO190" si="164">+CS188+DA188</f>
        <v>10601518.859999999</v>
      </c>
      <c r="DJ188" s="73">
        <f t="shared" si="164"/>
        <v>280471.63</v>
      </c>
      <c r="DK188" s="73">
        <f t="shared" si="164"/>
        <v>0</v>
      </c>
      <c r="DL188" s="73">
        <f t="shared" si="164"/>
        <v>0</v>
      </c>
      <c r="DM188" s="73">
        <f t="shared" si="164"/>
        <v>0</v>
      </c>
      <c r="DN188" s="73">
        <f t="shared" si="164"/>
        <v>0</v>
      </c>
      <c r="DO188" s="73">
        <f t="shared" si="164"/>
        <v>0</v>
      </c>
      <c r="DP188" s="73"/>
      <c r="DQ188" s="73"/>
    </row>
    <row r="189" spans="1:121" ht="10.199999999999999" x14ac:dyDescent="0.2">
      <c r="A189" s="4" t="s">
        <v>642</v>
      </c>
      <c r="B189" s="72">
        <v>1107</v>
      </c>
      <c r="C189" s="13" t="s">
        <v>164</v>
      </c>
      <c r="D189" s="4">
        <v>2027</v>
      </c>
      <c r="E189" s="4" t="s">
        <v>476</v>
      </c>
      <c r="F189" s="4">
        <v>1</v>
      </c>
      <c r="G189" s="4" t="s">
        <v>683</v>
      </c>
      <c r="H189" s="4">
        <v>100</v>
      </c>
      <c r="I189" s="4" t="s">
        <v>854</v>
      </c>
      <c r="J189" s="5">
        <v>3210864.02</v>
      </c>
      <c r="K189" s="5">
        <v>332.87</v>
      </c>
      <c r="L189" s="5">
        <v>157.86000000000001</v>
      </c>
      <c r="M189" s="5">
        <v>0</v>
      </c>
      <c r="N189" s="5">
        <v>8326816</v>
      </c>
      <c r="O189" s="5">
        <v>40</v>
      </c>
      <c r="P189" s="5">
        <v>130</v>
      </c>
      <c r="Q189" s="5">
        <v>0</v>
      </c>
      <c r="R189" s="5">
        <v>0</v>
      </c>
      <c r="S189" s="5">
        <v>0</v>
      </c>
      <c r="T189" s="5">
        <v>0</v>
      </c>
      <c r="U189" s="5">
        <v>0</v>
      </c>
      <c r="V189" s="5">
        <v>9932.9</v>
      </c>
      <c r="W189" s="5">
        <v>1455.37</v>
      </c>
      <c r="X189" s="5">
        <v>10576.15</v>
      </c>
      <c r="Y189" s="5">
        <v>2.5299999999999998</v>
      </c>
      <c r="Z189" s="5">
        <v>18</v>
      </c>
      <c r="AA189" s="5">
        <v>135</v>
      </c>
      <c r="AB189" s="5">
        <v>43</v>
      </c>
      <c r="AC189" s="5">
        <v>79</v>
      </c>
      <c r="AD189" s="5">
        <v>0</v>
      </c>
      <c r="AE189" s="5">
        <v>1</v>
      </c>
      <c r="AF189" s="5">
        <v>2</v>
      </c>
      <c r="AG189" s="5">
        <v>0</v>
      </c>
      <c r="AH189" s="5">
        <v>0.44800000000000001</v>
      </c>
      <c r="AI189" s="5">
        <v>0</v>
      </c>
      <c r="AJ189" s="5">
        <v>0</v>
      </c>
      <c r="AK189" s="5">
        <v>0</v>
      </c>
      <c r="AL189" s="5">
        <v>270.06</v>
      </c>
      <c r="AM189" s="5">
        <v>8.3500000000000227</v>
      </c>
      <c r="AN189" s="5">
        <v>275</v>
      </c>
      <c r="AO189" s="5">
        <f t="shared" si="141"/>
        <v>0</v>
      </c>
      <c r="AP189" s="5">
        <f t="shared" si="152"/>
        <v>0</v>
      </c>
      <c r="AQ189" s="5">
        <v>0</v>
      </c>
      <c r="AR189" s="5">
        <v>0</v>
      </c>
      <c r="AS189" s="5">
        <v>21390</v>
      </c>
      <c r="AT189" s="5">
        <v>90300</v>
      </c>
      <c r="AU189" s="5">
        <v>620</v>
      </c>
      <c r="AV189" s="5">
        <v>2720</v>
      </c>
      <c r="AW189" s="5">
        <v>157.86000000000001</v>
      </c>
      <c r="AX189" s="5">
        <v>1</v>
      </c>
      <c r="AY189" s="199">
        <v>0</v>
      </c>
      <c r="AZ189" s="199">
        <v>0</v>
      </c>
      <c r="BA189" s="5">
        <v>318121.77</v>
      </c>
      <c r="BB189" s="13">
        <v>485514.54</v>
      </c>
      <c r="BC189" s="101">
        <f>MAX(ROUND(IF(F189&lt;4,IF(H189=0,(SUM(Y189:AD189)*Worksheet!$E$26+Y189*Worksheet!$E$27+AR189*Worksheet!$E$39)*-BaseRate,0)),2),MIN(0,-DI189))</f>
        <v>0</v>
      </c>
      <c r="BD189" s="101">
        <f>MAX(ROUND(IF(F189=4,0,IF(I189=0,0,ROUND(SUM(Y189:AD189)*Worksheet!$E$28,2)*-BaseRate)),2),MIN(0,-DI189-BC189))</f>
        <v>-6514.48</v>
      </c>
      <c r="BE189" s="130">
        <f t="shared" si="134"/>
        <v>0</v>
      </c>
      <c r="BF189" s="130">
        <f t="shared" si="135"/>
        <v>1406</v>
      </c>
      <c r="BG189" s="73"/>
      <c r="BH189" s="118">
        <f t="shared" si="136"/>
        <v>23181.56</v>
      </c>
      <c r="BI189" s="118">
        <f t="shared" si="137"/>
        <v>9646</v>
      </c>
      <c r="BJ189" s="232">
        <f>IFERROR(ROUND(IF(AND(BB189*1.12&lt;N189*60/1000,N189/CL189&lt;STVPP*0.2),(CL189*STVPP*0.2*Worksheet!$F$88/1000-BB189*1.12)*PropTaxAdj,IF(BB189*1.12&lt;N189*60/1000,(N189*60/1000-BB189*1.12)*PropTaxAdj,0)),2),0)</f>
        <v>0</v>
      </c>
      <c r="BK189" s="116">
        <f>ROUND(IF($F189=4,0,Y189*Worksheet!$E$16),2)</f>
        <v>2.5299999999999998</v>
      </c>
      <c r="BL189" s="116">
        <f>ROUND(IF($F189=4,0,Z189*Worksheet!$E$17),2)</f>
        <v>18</v>
      </c>
      <c r="BM189" s="116">
        <f>ROUND(IF($F189=4,0,AA189*Worksheet!$E$18),2)</f>
        <v>135</v>
      </c>
      <c r="BN189" s="116">
        <f>ROUND(IF($F189=4,0,AB189*Worksheet!$E$19),2)</f>
        <v>43</v>
      </c>
      <c r="BO189" s="116">
        <f>ROUND(IF($F189=4,0,AC189*Worksheet!$E$20),2)</f>
        <v>79</v>
      </c>
      <c r="BP189" s="116">
        <f>ROUND(AD189*Worksheet!$E$21,2)</f>
        <v>0</v>
      </c>
      <c r="BQ189" s="116">
        <f t="shared" ref="BQ189" si="165">SUM(BK189:BP189)</f>
        <v>277.52999999999997</v>
      </c>
      <c r="BR189" s="116">
        <f>ROUND(AD189*Worksheet!$E$25,2)</f>
        <v>0</v>
      </c>
      <c r="BS189" s="116">
        <f>ROUND(SUM(BQ189)*Worksheet!$E$26,2)</f>
        <v>24.42</v>
      </c>
      <c r="BT189" s="116">
        <f>ROUND(Y189*Worksheet!$E$27,2)</f>
        <v>0.43</v>
      </c>
      <c r="BU189" s="116">
        <f>ROUND(AO189*Worksheet!$E$29,2)</f>
        <v>0</v>
      </c>
      <c r="BV189" s="116">
        <f>ROUND(AP189*Worksheet!$E$30,2)</f>
        <v>0</v>
      </c>
      <c r="BW189" s="116">
        <f>ROUND(IF($I189&lt;&gt;0,$BQ189*Worksheet!$E$28,0),2)</f>
        <v>0.56000000000000005</v>
      </c>
      <c r="BX189" s="116">
        <f>ROUND(AE189*Worksheet!$E$31,2)</f>
        <v>0.4</v>
      </c>
      <c r="BY189" s="116">
        <f>ROUND(AF189*Worksheet!$E$32,2)</f>
        <v>0.56000000000000005</v>
      </c>
      <c r="BZ189" s="116">
        <f>ROUND(AG189*Worksheet!$E$33,2)</f>
        <v>0</v>
      </c>
      <c r="CA189" s="116">
        <f>ROUND(ROUND(AH189*BQ189,2)*Worksheet!$E$34,2)</f>
        <v>3.11</v>
      </c>
      <c r="CB189" s="116">
        <f>ROUND(AI189*Worksheet!$E$35,2)</f>
        <v>0</v>
      </c>
      <c r="CC189" s="116">
        <f>ROUND(AJ189*Worksheet!$E$36,2)</f>
        <v>0</v>
      </c>
      <c r="CD189" s="116">
        <f>ROUND(AQ189*Worksheet!$E$38,2)</f>
        <v>0</v>
      </c>
      <c r="CE189" s="116">
        <f>ROUND(AR189*Worksheet!$E$39,2)</f>
        <v>0</v>
      </c>
      <c r="CF189" s="116">
        <f>IF(AND(L189&gt;275,SUM(Y189:AD189)&lt;100),ROUND(SUM(Y189:AD189)*Worksheet!$E$41,2),0)</f>
        <v>0</v>
      </c>
      <c r="CG189" s="116">
        <f>IF(AND(L189&gt;600,SUM(Y189:AD189)&lt;50),ROUND((50-SUM(Y189:AD189))*(Worksheet!$E$41+1),2),0)</f>
        <v>0</v>
      </c>
      <c r="CH189" s="116">
        <f t="shared" ref="CH189" si="166">SUM(BQ189:CG189)</f>
        <v>307.01</v>
      </c>
      <c r="CI189" s="116">
        <f t="shared" si="142"/>
        <v>0</v>
      </c>
      <c r="CJ189" s="116">
        <f t="shared" si="143"/>
        <v>307.01</v>
      </c>
      <c r="CK189" s="95">
        <f t="shared" si="138"/>
        <v>1.17</v>
      </c>
      <c r="CL189" s="116">
        <f t="shared" si="144"/>
        <v>359.2</v>
      </c>
      <c r="CM189" s="116">
        <f t="shared" si="145"/>
        <v>359.2</v>
      </c>
      <c r="CN189" s="116">
        <f t="shared" si="139"/>
        <v>4178573.6</v>
      </c>
      <c r="CO189" s="131">
        <f>ROUND(IF(F189=4,0,(MAX(ROUND(MAX((BI189*MIN(CL189,K189)*Worksheet!$D$126)+MAX(CL189-K189,0)*Worksheet!$F$50,SUM(J189)),2),SUM(CN189))-SUM(CN189))*MinAdj),2)</f>
        <v>0</v>
      </c>
      <c r="CP189" s="116">
        <f t="shared" si="140"/>
        <v>4178573.6</v>
      </c>
      <c r="CQ189" s="131">
        <f>IF(CL189=0,0,-MIN(CP189,MIN(CP189,ROUND(IF(ROUND(IF(CL189=0,0,N189/CL189),2)&lt;STVPP*0.2,STVPP*0.2*CL189*Worksheet!$F$88/1000,N189*Worksheet!$F$88/1000),2))))</f>
        <v>-499608.96</v>
      </c>
      <c r="CR189" s="131">
        <f>-MIN(SUM(CP189,CQ189),IF($P189=0,(ROUND(Worksheet!$E$77*S189,2)+ROUND(Worksheet!$E$78*T189,2)+ROUND(Worksheet!$E$79*U189,2)+ROUND(Worksheet!$E$80*V189,2)+ROUND(Worksheet!$E$81*W189,2)+ROUND(Worksheet!$E$82*X189,2)),(ROUND(ROUND(S189*ROUND((1-$O189/$P189),4),2)*Worksheet!$E$77,2)+ROUND(ROUND(T189*ROUND((1-$O189/$P189),4),2)*Worksheet!$E$78,2)+ROUND(ROUND(U189*ROUND((1-$O189/$P189),4),2)*Worksheet!$E$79,2)+ROUND(ROUND(V189*ROUND((1-$O189/$P189),4),2)*Worksheet!$E$80,2)+ROUND(ROUND(W189*ROUND((1-$O189/$P189),4),2)*Worksheet!$E$81,2)+ROUND(ROUND(X189*ROUND((1-$O189/$P189),4),2)*Worksheet!$E$82,2))))</f>
        <v>-11404.47</v>
      </c>
      <c r="CS189" s="116">
        <f t="shared" ref="CS189" si="167">SUM(CP189:CR189)</f>
        <v>3667560.17</v>
      </c>
      <c r="CT189" s="116">
        <f>ROUND(MIN(BA189,ROUND((ROUND(AS189*Worksheet!$E$104,2)+ROUND(AV189*Worksheet!$E$107,2)+ROUND(AT189*Worksheet!$E$105,2)+ROUND(AW189*Worksheet!$E$108,2)+ROUND(AU189*Worksheet!$E$106,2)+ROUND(AX189*Worksheet!$E$109,2)+ROUND(AY189*Worksheet!$E$110,2)+ROUND(AZ189*Worksheet!$E$111,2))*Worksheet!$D$114,2))*BaseRate,2)</f>
        <v>152857.62</v>
      </c>
      <c r="CU189" s="121">
        <v>0</v>
      </c>
      <c r="CV189" s="121">
        <v>0</v>
      </c>
      <c r="CW189" s="121">
        <v>0</v>
      </c>
      <c r="CX189" s="121">
        <v>0</v>
      </c>
      <c r="CY189" s="121">
        <v>0</v>
      </c>
      <c r="DA189" s="116">
        <f>MAX(-CS189,MIN(0,ROUND($R189*EFBPercent+EFBAdd,2)-$Q189))</f>
        <v>0</v>
      </c>
      <c r="DB189" s="116">
        <f>MAX(-CT189,MIN(0,ROUND($R189*EFBPercent+EFBAdd,2)-$Q189),MIN(0,SUM($CS189:CS189)+MIN(0,ROUND($R189*EFBPercent+EFBAdd,2)-$Q189)))</f>
        <v>0</v>
      </c>
      <c r="DC189" s="192">
        <f>IF(CU189&lt;0,0,MAX(-CU189,MIN(0,ROUND($R189*EFBPercent+EFBAdd,2)-$Q189),MIN(0,SUM($CS189:CT189)+MIN(0,ROUND($R189*EFBPercent+EFBAdd,2)-$Q189))))</f>
        <v>0</v>
      </c>
      <c r="DD189" s="192">
        <f>IF(CV189&lt;0,0,MAX(-CV189,MIN(0,ROUND($R189*EFBPercent+EFBAdd,2)-$Q189),MIN(0,SUM($CS189:CU189)+MIN(0,ROUND($R189*EFBPercent+EFBAdd,2)-$Q189))))</f>
        <v>0</v>
      </c>
      <c r="DE189" s="192">
        <f>IF(CW189&lt;0,0,MAX(-CW189,MIN(0,ROUND($R189*EFBPercent+EFBAdd,2)-$Q189),MIN(0,SUM($CS189:CV189)+MIN(0,ROUND($R189*EFBPercent+EFBAdd,2)-$Q189))))</f>
        <v>0</v>
      </c>
      <c r="DF189" s="192">
        <f>IF(CX189&lt;0,0,MAX(-CX189,MIN(0,ROUND($R189*EFBPercent+EFBAdd,2)-$Q189),MIN(0,SUM($CS189:CW189)+MIN(0,ROUND($R189*EFBPercent+EFBAdd,2)-$Q189))))</f>
        <v>0</v>
      </c>
      <c r="DG189" s="116">
        <f>MAX(-CY189,MIN(0,ROUND($R189*EFBPercent+EFBAdd,2)-$Q189),MIN(0,SUM($CS189:CX189)+MIN(0,ROUND($R189*EFBPercent+EFBAdd,2)-$Q189)))</f>
        <v>0</v>
      </c>
      <c r="DI189" s="73">
        <f t="shared" ref="DI189" si="168">+CS189+DA189</f>
        <v>3667560.17</v>
      </c>
      <c r="DJ189" s="73">
        <f t="shared" ref="DJ189" si="169">+CT189+DB189</f>
        <v>152857.62</v>
      </c>
      <c r="DK189" s="73">
        <f t="shared" ref="DK189" si="170">+CU189+DC189</f>
        <v>0</v>
      </c>
      <c r="DL189" s="73">
        <f t="shared" ref="DL189" si="171">+CV189+DD189</f>
        <v>0</v>
      </c>
      <c r="DM189" s="73">
        <f t="shared" ref="DM189" si="172">+CW189+DE189</f>
        <v>0</v>
      </c>
      <c r="DN189" s="73">
        <f t="shared" ref="DN189" si="173">+CX189+DF189</f>
        <v>0</v>
      </c>
      <c r="DO189" s="73">
        <f t="shared" ref="DO189" si="174">+CY189+DG189</f>
        <v>0</v>
      </c>
      <c r="DP189" s="73"/>
      <c r="DQ189" s="73"/>
    </row>
    <row r="190" spans="1:121" ht="10.199999999999999" x14ac:dyDescent="0.2">
      <c r="A190" s="4" t="s">
        <v>683</v>
      </c>
      <c r="B190" s="72">
        <v>2529</v>
      </c>
      <c r="C190" s="13" t="s">
        <v>200</v>
      </c>
      <c r="D190" s="4">
        <v>2027</v>
      </c>
      <c r="E190" s="4" t="s">
        <v>1050</v>
      </c>
      <c r="F190" s="4">
        <v>7</v>
      </c>
      <c r="G190" s="4" t="s">
        <v>683</v>
      </c>
      <c r="H190" s="4">
        <v>0</v>
      </c>
      <c r="I190" s="4">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f t="shared" si="141"/>
        <v>0</v>
      </c>
      <c r="AP190" s="5">
        <v>0</v>
      </c>
      <c r="AQ190" s="5">
        <v>0</v>
      </c>
      <c r="AR190" s="5">
        <v>0</v>
      </c>
      <c r="AS190" s="5">
        <v>0</v>
      </c>
      <c r="AT190" s="5">
        <v>0</v>
      </c>
      <c r="AU190" s="5">
        <v>0</v>
      </c>
      <c r="AV190" s="5">
        <v>0</v>
      </c>
      <c r="AW190" s="5">
        <v>0</v>
      </c>
      <c r="AX190" s="5">
        <v>0</v>
      </c>
      <c r="AY190" s="199">
        <v>0</v>
      </c>
      <c r="AZ190" s="199">
        <v>0</v>
      </c>
      <c r="BA190" s="5">
        <v>0</v>
      </c>
      <c r="BB190" s="13">
        <v>0</v>
      </c>
      <c r="BC190" s="101">
        <f>MAX(ROUND(IF(F190&lt;4,IF(H190=0,(SUM(Y190:AD190)*Worksheet!$E$26+Y190*Worksheet!$E$27+AR190*Worksheet!$E$39)*-BaseRate,0)),2),MIN(0,-DI190))</f>
        <v>0</v>
      </c>
      <c r="BD190" s="101">
        <f>MAX(ROUND(IF(F190=4,0,IF(I190=0,0,ROUND(SUM(Y190:AD190)*Worksheet!$E$28,2)*-BaseRate)),2),MIN(0,-DI190-BC190))</f>
        <v>0</v>
      </c>
      <c r="BE190" s="130">
        <f t="shared" si="134"/>
        <v>0</v>
      </c>
      <c r="BF190" s="130">
        <f t="shared" si="135"/>
        <v>0</v>
      </c>
      <c r="BG190" s="73"/>
      <c r="BH190" s="118">
        <f t="shared" si="136"/>
        <v>0</v>
      </c>
      <c r="BI190" s="118">
        <f t="shared" si="137"/>
        <v>0</v>
      </c>
      <c r="BJ190" s="232">
        <f>IFERROR(ROUND(IF(AND(BB190*1.12&lt;N190*60/1000,N190/CL190&lt;STVPP*0.2),(CL190*STVPP*0.2*Worksheet!$F$88/1000-BB190*1.12)*PropTaxAdj,IF(BB190*1.12&lt;N190*60/1000,(N190*60/1000-BB190*1.12)*PropTaxAdj,0)),2),0)</f>
        <v>0</v>
      </c>
      <c r="BK190" s="116">
        <f>ROUND(IF($F190=4,0,Y190*Worksheet!$E$16),2)</f>
        <v>0</v>
      </c>
      <c r="BL190" s="116">
        <f>ROUND(IF($F190=4,0,Z190*Worksheet!$E$17),2)</f>
        <v>0</v>
      </c>
      <c r="BM190" s="116">
        <f>ROUND(IF($F190=4,0,AA190*Worksheet!$E$18),2)</f>
        <v>0</v>
      </c>
      <c r="BN190" s="116">
        <f>ROUND(IF($F190=4,0,AB190*Worksheet!$E$19),2)</f>
        <v>0</v>
      </c>
      <c r="BO190" s="116">
        <f>ROUND(IF($F190=4,0,AC190*Worksheet!$E$20),2)</f>
        <v>0</v>
      </c>
      <c r="BP190" s="116">
        <f>ROUND(AD190*Worksheet!$E$21,2)</f>
        <v>0</v>
      </c>
      <c r="BQ190" s="116">
        <f>SUM(BK190:BP190)</f>
        <v>0</v>
      </c>
      <c r="BR190" s="116">
        <f>ROUND(AD190*Worksheet!$E$25,2)</f>
        <v>0</v>
      </c>
      <c r="BS190" s="116">
        <f>ROUND(SUM(BQ190)*Worksheet!$E$26,2)</f>
        <v>0</v>
      </c>
      <c r="BT190" s="116">
        <f>ROUND(Y190*Worksheet!$E$27,2)</f>
        <v>0</v>
      </c>
      <c r="BU190" s="116">
        <f>ROUND(AO190*Worksheet!$E$29,2)</f>
        <v>0</v>
      </c>
      <c r="BV190" s="116">
        <f>ROUND(AP190*Worksheet!$E$30,2)</f>
        <v>0</v>
      </c>
      <c r="BW190" s="116">
        <f>ROUND(IF($I190&lt;&gt;0,$BQ190*Worksheet!$E$28,0),2)</f>
        <v>0</v>
      </c>
      <c r="BX190" s="116">
        <f>ROUND(AE190*Worksheet!$E$31,2)</f>
        <v>0</v>
      </c>
      <c r="BY190" s="116">
        <f>ROUND(AF190*Worksheet!$E$32,2)</f>
        <v>0</v>
      </c>
      <c r="BZ190" s="116">
        <f>ROUND(AG190*Worksheet!$E$33,2)</f>
        <v>0</v>
      </c>
      <c r="CA190" s="116">
        <f>ROUND(ROUND(AH190*BQ190,2)*Worksheet!$E$34,2)</f>
        <v>0</v>
      </c>
      <c r="CB190" s="116">
        <f>ROUND(AI190*Worksheet!$E$35,2)</f>
        <v>0</v>
      </c>
      <c r="CC190" s="116">
        <f>ROUND(AJ190*Worksheet!$E$36,2)</f>
        <v>0</v>
      </c>
      <c r="CD190" s="116">
        <f>ROUND(AQ190*Worksheet!$E$38,2)</f>
        <v>0</v>
      </c>
      <c r="CE190" s="116">
        <f>ROUND(AR190*Worksheet!$E$39,2)</f>
        <v>0</v>
      </c>
      <c r="CF190" s="116">
        <f>IF(AND(L190&gt;275,SUM(Y190:AD190)&lt;100),ROUND(SUM(Y190:AD190)*Worksheet!$E$41,2),0)</f>
        <v>0</v>
      </c>
      <c r="CG190" s="116">
        <f>IF(AND(L190&gt;600,SUM(Y190:AD190)&lt;50),ROUND((50-SUM(Y190:AD190))*(Worksheet!$E$41+1),2),0)</f>
        <v>0</v>
      </c>
      <c r="CH190" s="116">
        <f t="shared" si="154"/>
        <v>0</v>
      </c>
      <c r="CI190" s="116">
        <f t="shared" si="142"/>
        <v>0</v>
      </c>
      <c r="CJ190" s="116">
        <f t="shared" si="143"/>
        <v>0</v>
      </c>
      <c r="CK190" s="95">
        <f t="shared" si="138"/>
        <v>0</v>
      </c>
      <c r="CL190" s="116">
        <f t="shared" si="144"/>
        <v>0</v>
      </c>
      <c r="CM190" s="116">
        <f t="shared" si="145"/>
        <v>0</v>
      </c>
      <c r="CN190" s="116">
        <f t="shared" si="139"/>
        <v>0</v>
      </c>
      <c r="CO190" s="131">
        <f>ROUND(IF(F190=4,0,(MAX(ROUND(MAX((BI190*MIN(CL190,K190)*Worksheet!$D$126)+MAX(CL190-K190,0)*Worksheet!$F$50,SUM(J190)),2),SUM(CN190))-SUM(CN190))*MinAdj),2)</f>
        <v>0</v>
      </c>
      <c r="CP190" s="116">
        <f t="shared" si="140"/>
        <v>0</v>
      </c>
      <c r="CQ190" s="131">
        <f>IF(CL190=0,0,-MIN(CP190,MIN(CP190,ROUND(IF(ROUND(IF(CL190=0,0,N190/CL190),2)&lt;STVPP*0.2,STVPP*0.2*CL190*Worksheet!$F$88/1000,N190*Worksheet!$F$88/1000),2))))</f>
        <v>0</v>
      </c>
      <c r="CR190" s="131">
        <f>-MIN(SUM(CP190,CQ190),IF($P190=0,(ROUND(Worksheet!$E$77*S190,2)+ROUND(Worksheet!$E$78*T190,2)+ROUND(Worksheet!$E$79*U190,2)+ROUND(Worksheet!$E$80*V190,2)+ROUND(Worksheet!$E$81*W190,2)+ROUND(Worksheet!$E$82*X190,2)),(ROUND(ROUND(S190*ROUND((1-$O190/$P190),4),2)*Worksheet!$E$77,2)+ROUND(ROUND(T190*ROUND((1-$O190/$P190),4),2)*Worksheet!$E$78,2)+ROUND(ROUND(U190*ROUND((1-$O190/$P190),4),2)*Worksheet!$E$79,2)+ROUND(ROUND(V190*ROUND((1-$O190/$P190),4),2)*Worksheet!$E$80,2)+ROUND(ROUND(W190*ROUND((1-$O190/$P190),4),2)*Worksheet!$E$81,2)+ROUND(ROUND(X190*ROUND((1-$O190/$P190),4),2)*Worksheet!$E$82,2))))</f>
        <v>0</v>
      </c>
      <c r="CS190" s="116">
        <f>SUM(CP190:CR190)</f>
        <v>0</v>
      </c>
      <c r="CT190" s="116">
        <f>ROUND(MIN(BA190,ROUND((ROUND(AS190*Worksheet!$E$104,2)+ROUND(AV190*Worksheet!$E$107,2)+ROUND(AT190*Worksheet!$E$105,2)+ROUND(AW190*Worksheet!$E$108,2)+ROUND(AU190*Worksheet!$E$106,2)+ROUND(AX190*Worksheet!$E$109,2)+ROUND(AY190*Worksheet!$E$110,2)+ROUND(AZ190*Worksheet!$E$111,2))*Worksheet!$D$114,2))*BaseRate,2)</f>
        <v>0</v>
      </c>
      <c r="CU190" s="121">
        <v>0</v>
      </c>
      <c r="CV190" s="121">
        <v>0</v>
      </c>
      <c r="CW190" s="121">
        <v>0</v>
      </c>
      <c r="CX190" s="121">
        <v>0</v>
      </c>
      <c r="CY190" s="121">
        <v>0</v>
      </c>
      <c r="DA190" s="116">
        <f>MAX(-CS190,MIN(0,ROUND($R190*EFBPercent+EFBAdd,2)-$Q190))</f>
        <v>0</v>
      </c>
      <c r="DB190" s="116">
        <f>MAX(-CT190,MIN(0,ROUND($R190*EFBPercent+EFBAdd,2)-$Q190),MIN(0,SUM($CS190:CS190)+MIN(0,ROUND($R190*EFBPercent+EFBAdd,2)-$Q190)))</f>
        <v>0</v>
      </c>
      <c r="DC190" s="192">
        <f>IF(CU190&lt;0,0,MAX(-CU190,MIN(0,ROUND($R190*EFBPercent+EFBAdd,2)-$Q190),MIN(0,SUM($CS190:CT190)+MIN(0,ROUND($R190*EFBPercent+EFBAdd,2)-$Q190))))</f>
        <v>0</v>
      </c>
      <c r="DD190" s="192">
        <f>IF(CV190&lt;0,0,MAX(-CV190,MIN(0,ROUND($R190*EFBPercent+EFBAdd,2)-$Q190),MIN(0,SUM($CS190:CU190)+MIN(0,ROUND($R190*EFBPercent+EFBAdd,2)-$Q190))))</f>
        <v>0</v>
      </c>
      <c r="DE190" s="192">
        <f>IF(CW190&lt;0,0,MAX(-CW190,MIN(0,ROUND($R190*EFBPercent+EFBAdd,2)-$Q190),MIN(0,SUM($CS190:CV190)+MIN(0,ROUND($R190*EFBPercent+EFBAdd,2)-$Q190))))</f>
        <v>0</v>
      </c>
      <c r="DF190" s="192">
        <f>IF(CX190&lt;0,0,MAX(-CX190,MIN(0,ROUND($R190*EFBPercent+EFBAdd,2)-$Q190),MIN(0,SUM($CS190:CW190)+MIN(0,ROUND($R190*EFBPercent+EFBAdd,2)-$Q190))))</f>
        <v>0</v>
      </c>
      <c r="DG190" s="116">
        <f>MAX(-CY190,MIN(0,ROUND($R190*EFBPercent+EFBAdd,2)-$Q190),MIN(0,SUM($CS190:CX190)+MIN(0,ROUND($R190*EFBPercent+EFBAdd,2)-$Q190)))</f>
        <v>0</v>
      </c>
      <c r="DI190" s="73">
        <f t="shared" si="164"/>
        <v>0</v>
      </c>
      <c r="DJ190" s="73">
        <f t="shared" si="164"/>
        <v>0</v>
      </c>
      <c r="DK190" s="73">
        <f t="shared" si="164"/>
        <v>0</v>
      </c>
      <c r="DL190" s="73">
        <f t="shared" si="164"/>
        <v>0</v>
      </c>
      <c r="DM190" s="73">
        <f t="shared" si="164"/>
        <v>0</v>
      </c>
      <c r="DN190" s="73">
        <f t="shared" si="164"/>
        <v>0</v>
      </c>
      <c r="DO190" s="73">
        <f t="shared" si="164"/>
        <v>0</v>
      </c>
      <c r="DP190" s="73"/>
      <c r="DQ190" s="73"/>
    </row>
    <row r="191" spans="1:121" ht="10.199999999999999" x14ac:dyDescent="0.2">
      <c r="A191" s="4" t="s">
        <v>643</v>
      </c>
      <c r="B191" s="72">
        <v>1106</v>
      </c>
      <c r="C191" s="13" t="s">
        <v>165</v>
      </c>
      <c r="D191" s="4">
        <v>2027</v>
      </c>
      <c r="E191" s="4" t="s">
        <v>477</v>
      </c>
      <c r="F191" s="4">
        <v>1</v>
      </c>
      <c r="G191" s="4" t="s">
        <v>1083</v>
      </c>
      <c r="H191" s="4">
        <v>100</v>
      </c>
      <c r="I191" s="4" t="s">
        <v>1091</v>
      </c>
      <c r="J191" s="5">
        <v>80903220.579999998</v>
      </c>
      <c r="K191" s="5">
        <v>8387.23</v>
      </c>
      <c r="L191" s="5">
        <v>130.11000000000001</v>
      </c>
      <c r="M191" s="5">
        <v>0</v>
      </c>
      <c r="N191" s="5">
        <v>266431511</v>
      </c>
      <c r="O191" s="5">
        <v>50.01</v>
      </c>
      <c r="P191" s="5">
        <v>136.35</v>
      </c>
      <c r="Q191" s="5">
        <v>0</v>
      </c>
      <c r="R191" s="5">
        <v>0</v>
      </c>
      <c r="S191" s="280">
        <v>1625747.35</v>
      </c>
      <c r="T191" s="5">
        <v>1193200.26</v>
      </c>
      <c r="U191" s="5">
        <v>0</v>
      </c>
      <c r="V191" s="5">
        <v>50295.03</v>
      </c>
      <c r="W191" s="5">
        <v>234034.22</v>
      </c>
      <c r="X191" s="5">
        <v>221771.58</v>
      </c>
      <c r="Y191" s="5">
        <v>152.03</v>
      </c>
      <c r="Z191" s="5">
        <v>574</v>
      </c>
      <c r="AA191" s="5">
        <v>3451</v>
      </c>
      <c r="AB191" s="5">
        <v>1131</v>
      </c>
      <c r="AC191" s="5">
        <v>1890.79</v>
      </c>
      <c r="AD191" s="5">
        <v>196.20999999999998</v>
      </c>
      <c r="AE191" s="5">
        <v>26.369999999999997</v>
      </c>
      <c r="AF191" s="5">
        <v>40</v>
      </c>
      <c r="AG191" s="5">
        <v>36.93</v>
      </c>
      <c r="AH191" s="5">
        <v>0.38100000000000001</v>
      </c>
      <c r="AI191" s="5">
        <v>0.95</v>
      </c>
      <c r="AJ191" s="5">
        <v>0</v>
      </c>
      <c r="AK191" s="5">
        <v>66.929999999999993</v>
      </c>
      <c r="AL191" s="5">
        <v>7174.83</v>
      </c>
      <c r="AM191" s="5">
        <v>0</v>
      </c>
      <c r="AN191" s="5">
        <v>7243</v>
      </c>
      <c r="AO191" s="5">
        <f t="shared" si="141"/>
        <v>0</v>
      </c>
      <c r="AP191" s="5">
        <f t="shared" ref="AP191:AP199" si="175">IF(AM191&gt;0,SUM(Z191:AD191)-AN191,0)</f>
        <v>0</v>
      </c>
      <c r="AQ191" s="5">
        <v>121.66</v>
      </c>
      <c r="AR191" s="5">
        <v>5.45</v>
      </c>
      <c r="AS191" s="5">
        <v>0</v>
      </c>
      <c r="AT191" s="5">
        <v>318333.31</v>
      </c>
      <c r="AU191" s="5">
        <v>0</v>
      </c>
      <c r="AV191" s="5">
        <v>14887</v>
      </c>
      <c r="AW191" s="5">
        <v>130.11000000000001</v>
      </c>
      <c r="AX191" s="5">
        <v>19</v>
      </c>
      <c r="AY191" s="199">
        <v>6527.6</v>
      </c>
      <c r="AZ191" s="199">
        <v>0</v>
      </c>
      <c r="BA191" s="5">
        <v>1567438.54</v>
      </c>
      <c r="BB191" s="13">
        <v>15306000.18</v>
      </c>
      <c r="BC191" s="101">
        <f>MAX(ROUND(IF(F191&lt;4,IF(H191=0,(SUM(Y191:AD191)*Worksheet!$E$26+Y191*Worksheet!$E$27+AR191*Worksheet!$E$39)*-BaseRate,0)),2),MIN(0,-DI191))</f>
        <v>0</v>
      </c>
      <c r="BD191" s="101">
        <f>MAX(ROUND(IF(F191=4,0,IF(I191=0,0,ROUND(SUM(Y191:AD191)*Worksheet!$E$28,2)*-BaseRate)),2),MIN(0,-DI191-BC191))</f>
        <v>-172052.07</v>
      </c>
      <c r="BE191" s="130">
        <f t="shared" si="134"/>
        <v>0</v>
      </c>
      <c r="BF191" s="130">
        <f t="shared" si="135"/>
        <v>1403</v>
      </c>
      <c r="BG191" s="73"/>
      <c r="BH191" s="118">
        <f t="shared" si="136"/>
        <v>32326.19</v>
      </c>
      <c r="BI191" s="118">
        <f t="shared" si="137"/>
        <v>9646</v>
      </c>
      <c r="BJ191" s="232">
        <f>IFERROR(ROUND(IF(AND(BB191*1.12&lt;N191*60/1000,N191/CL191&lt;STVPP*0.2),(CL191*STVPP*0.2*Worksheet!$F$88/1000-BB191*1.12)*PropTaxAdj,IF(BB191*1.12&lt;N191*60/1000,(N191*60/1000-BB191*1.12)*PropTaxAdj,0)),2),0)</f>
        <v>0</v>
      </c>
      <c r="BK191" s="116">
        <f>ROUND(IF($F191=4,0,Y191*Worksheet!$E$16),2)</f>
        <v>152.03</v>
      </c>
      <c r="BL191" s="116">
        <f>ROUND(IF($F191=4,0,Z191*Worksheet!$E$17),2)</f>
        <v>574</v>
      </c>
      <c r="BM191" s="116">
        <f>ROUND(IF($F191=4,0,AA191*Worksheet!$E$18),2)</f>
        <v>3451</v>
      </c>
      <c r="BN191" s="116">
        <f>ROUND(IF($F191=4,0,AB191*Worksheet!$E$19),2)</f>
        <v>1131</v>
      </c>
      <c r="BO191" s="116">
        <f>ROUND(IF($F191=4,0,AC191*Worksheet!$E$20),2)</f>
        <v>1890.79</v>
      </c>
      <c r="BP191" s="116">
        <f>ROUND(AD191*Worksheet!$E$21,2)</f>
        <v>196.21</v>
      </c>
      <c r="BQ191" s="116">
        <f t="shared" si="153"/>
        <v>7395.03</v>
      </c>
      <c r="BR191" s="116">
        <f>ROUND(AD191*Worksheet!$E$25,2)</f>
        <v>49.05</v>
      </c>
      <c r="BS191" s="116">
        <f>ROUND(SUM(BQ191)*Worksheet!$E$26,2)</f>
        <v>650.76</v>
      </c>
      <c r="BT191" s="116">
        <f>ROUND(Y191*Worksheet!$E$27,2)</f>
        <v>25.85</v>
      </c>
      <c r="BU191" s="116">
        <f>ROUND(AO191*Worksheet!$E$29,2)</f>
        <v>0</v>
      </c>
      <c r="BV191" s="116">
        <f>ROUND(AP191*Worksheet!$E$30,2)</f>
        <v>0</v>
      </c>
      <c r="BW191" s="116">
        <f>ROUND(IF($I191&lt;&gt;0,$BQ191*Worksheet!$E$28,0),2)</f>
        <v>14.79</v>
      </c>
      <c r="BX191" s="116">
        <f>ROUND(AE191*Worksheet!$E$31,2)</f>
        <v>10.55</v>
      </c>
      <c r="BY191" s="116">
        <f>ROUND(AF191*Worksheet!$E$32,2)</f>
        <v>11.2</v>
      </c>
      <c r="BZ191" s="116">
        <f>ROUND(AG191*Worksheet!$E$33,2)</f>
        <v>2.59</v>
      </c>
      <c r="CA191" s="116">
        <f>ROUND(ROUND(AH191*BQ191,2)*Worksheet!$E$34,2)</f>
        <v>70.44</v>
      </c>
      <c r="CB191" s="116">
        <f>ROUND(AI191*Worksheet!$E$35,2)</f>
        <v>0.19</v>
      </c>
      <c r="CC191" s="116">
        <f>ROUND(AJ191*Worksheet!$E$36,2)</f>
        <v>0</v>
      </c>
      <c r="CD191" s="116">
        <f>ROUND(AQ191*Worksheet!$E$38,2)</f>
        <v>73</v>
      </c>
      <c r="CE191" s="116">
        <f>ROUND(AR191*Worksheet!$E$39,2)</f>
        <v>5.45</v>
      </c>
      <c r="CF191" s="116">
        <f>IF(AND(L191&gt;275,SUM(Y191:AD191)&lt;100),ROUND(SUM(Y191:AD191)*Worksheet!$E$41,2),0)</f>
        <v>0</v>
      </c>
      <c r="CG191" s="116">
        <f>IF(AND(L191&gt;600,SUM(Y191:AD191)&lt;50),ROUND((50-SUM(Y191:AD191))*(Worksheet!$E$41+1),2),0)</f>
        <v>0</v>
      </c>
      <c r="CH191" s="116">
        <f t="shared" si="154"/>
        <v>8308.9000000000015</v>
      </c>
      <c r="CI191" s="116">
        <f t="shared" si="142"/>
        <v>66.929999999999993</v>
      </c>
      <c r="CJ191" s="116">
        <f t="shared" si="143"/>
        <v>8241.9700000000012</v>
      </c>
      <c r="CK191" s="95">
        <f t="shared" si="138"/>
        <v>1</v>
      </c>
      <c r="CL191" s="116">
        <f t="shared" si="144"/>
        <v>8241.9699999999993</v>
      </c>
      <c r="CM191" s="116">
        <f t="shared" si="145"/>
        <v>8308.9</v>
      </c>
      <c r="CN191" s="116">
        <f t="shared" si="139"/>
        <v>96657433.700000003</v>
      </c>
      <c r="CO191" s="131">
        <f>ROUND(IF(F191=4,0,(MAX(ROUND(MAX((BI191*MIN(CL191,K191)*Worksheet!$D$126)+MAX(CL191-K191,0)*Worksheet!$F$50,SUM(J191)),2),SUM(CN191))-SUM(CN191))*MinAdj),2)</f>
        <v>0</v>
      </c>
      <c r="CP191" s="116">
        <f t="shared" si="140"/>
        <v>96657433.700000003</v>
      </c>
      <c r="CQ191" s="131">
        <f>IF(CL191=0,0,-MIN(CP191,MIN(CP191,ROUND(IF(ROUND(IF(CL191=0,0,N191/CL191),2)&lt;STVPP*0.2,STVPP*0.2*CL191*Worksheet!$F$88/1000,N191*Worksheet!$F$88/1000),2))))</f>
        <v>-15985890.66</v>
      </c>
      <c r="CR191" s="131">
        <f>-MIN(SUM(CP191,CQ191),IF($P191=0,(ROUND(Worksheet!$E$77*S191,2)+ROUND(Worksheet!$E$78*T191,2)+ROUND(Worksheet!$E$79*U191,2)+ROUND(Worksheet!$E$80*V191,2)+ROUND(Worksheet!$E$81*W191,2)+ROUND(Worksheet!$E$82*X191,2)),(ROUND(ROUND(S191*ROUND((1-$O191/$P191),4),2)*Worksheet!$E$77,2)+ROUND(ROUND(T191*ROUND((1-$O191/$P191),4),2)*Worksheet!$E$78,2)+ROUND(ROUND(U191*ROUND((1-$O191/$P191),4),2)*Worksheet!$E$79,2)+ROUND(ROUND(V191*ROUND((1-$O191/$P191),4),2)*Worksheet!$E$80,2)+ROUND(ROUND(W191*ROUND((1-$O191/$P191),4),2)*Worksheet!$E$81,2)+ROUND(ROUND(X191*ROUND((1-$O191/$P191),4),2)*Worksheet!$E$82,2))))</f>
        <v>-1579065.5000000005</v>
      </c>
      <c r="CS191" s="116">
        <f t="shared" si="155"/>
        <v>79092477.540000007</v>
      </c>
      <c r="CT191" s="116">
        <f>ROUND(MIN(BA191,ROUND((ROUND(AS191*Worksheet!$E$104,2)+ROUND(AV191*Worksheet!$E$107,2)+ROUND(AT191*Worksheet!$E$105,2)+ROUND(AW191*Worksheet!$E$108,2)+ROUND(AU191*Worksheet!$E$106,2)+ROUND(AX191*Worksheet!$E$109,2)+ROUND(AY191*Worksheet!$E$110,2)+ROUND(AZ191*Worksheet!$E$111,2))*Worksheet!$D$114,2))*BaseRate,2)</f>
        <v>571878.28</v>
      </c>
      <c r="CU191" s="121">
        <v>0</v>
      </c>
      <c r="CV191" s="121">
        <v>0</v>
      </c>
      <c r="CW191" s="121">
        <v>0</v>
      </c>
      <c r="CX191" s="121">
        <v>0</v>
      </c>
      <c r="CY191" s="121">
        <v>0</v>
      </c>
      <c r="DA191" s="116">
        <f t="shared" si="156"/>
        <v>0</v>
      </c>
      <c r="DB191" s="116">
        <f>MAX(-CT191,MIN(0,ROUND($R191*EFBPercent+EFBAdd,2)-$Q191),MIN(0,SUM($CS191:CS191)+MIN(0,ROUND($R191*EFBPercent+EFBAdd,2)-$Q191)))</f>
        <v>0</v>
      </c>
      <c r="DC191" s="192">
        <f>IF(CU191&lt;0,0,MAX(-CU191,MIN(0,ROUND($R191*EFBPercent+EFBAdd,2)-$Q191),MIN(0,SUM($CS191:CT191)+MIN(0,ROUND($R191*EFBPercent+EFBAdd,2)-$Q191))))</f>
        <v>0</v>
      </c>
      <c r="DD191" s="192">
        <f>IF(CV191&lt;0,0,MAX(-CV191,MIN(0,ROUND($R191*EFBPercent+EFBAdd,2)-$Q191),MIN(0,SUM($CS191:CU191)+MIN(0,ROUND($R191*EFBPercent+EFBAdd,2)-$Q191))))</f>
        <v>0</v>
      </c>
      <c r="DE191" s="192">
        <f>IF(CW191&lt;0,0,MAX(-CW191,MIN(0,ROUND($R191*EFBPercent+EFBAdd,2)-$Q191),MIN(0,SUM($CS191:CV191)+MIN(0,ROUND($R191*EFBPercent+EFBAdd,2)-$Q191))))</f>
        <v>0</v>
      </c>
      <c r="DF191" s="192">
        <f>IF(CX191&lt;0,0,MAX(-CX191,MIN(0,ROUND($R191*EFBPercent+EFBAdd,2)-$Q191),MIN(0,SUM($CS191:CW191)+MIN(0,ROUND($R191*EFBPercent+EFBAdd,2)-$Q191))))</f>
        <v>0</v>
      </c>
      <c r="DG191" s="116">
        <f>MAX(-CY191,MIN(0,ROUND($R191*EFBPercent+EFBAdd,2)-$Q191),MIN(0,SUM($CS191:CX191)+MIN(0,ROUND($R191*EFBPercent+EFBAdd,2)-$Q191)))</f>
        <v>0</v>
      </c>
      <c r="DI191" s="73">
        <f t="shared" si="157"/>
        <v>79092477.540000007</v>
      </c>
      <c r="DJ191" s="73">
        <f t="shared" si="158"/>
        <v>571878.28</v>
      </c>
      <c r="DK191" s="73">
        <f t="shared" si="159"/>
        <v>0</v>
      </c>
      <c r="DL191" s="73">
        <f t="shared" si="160"/>
        <v>0</v>
      </c>
      <c r="DM191" s="73">
        <f t="shared" si="161"/>
        <v>0</v>
      </c>
      <c r="DN191" s="73">
        <f t="shared" si="162"/>
        <v>0</v>
      </c>
      <c r="DO191" s="73">
        <f t="shared" si="163"/>
        <v>0</v>
      </c>
      <c r="DP191" s="73"/>
      <c r="DQ191" s="73"/>
    </row>
    <row r="192" spans="1:121" ht="10.199999999999999" x14ac:dyDescent="0.2">
      <c r="A192" s="4" t="s">
        <v>644</v>
      </c>
      <c r="B192" s="72">
        <v>1115</v>
      </c>
      <c r="C192" s="13" t="s">
        <v>166</v>
      </c>
      <c r="D192" s="4">
        <v>2027</v>
      </c>
      <c r="E192" s="4" t="s">
        <v>478</v>
      </c>
      <c r="F192" s="4">
        <v>1</v>
      </c>
      <c r="G192" s="4" t="s">
        <v>684</v>
      </c>
      <c r="H192" s="4">
        <v>100</v>
      </c>
      <c r="I192" s="4" t="s">
        <v>1091</v>
      </c>
      <c r="J192" s="5">
        <v>6149341.9699999997</v>
      </c>
      <c r="K192" s="5">
        <v>589.38</v>
      </c>
      <c r="L192" s="5">
        <v>30.04</v>
      </c>
      <c r="M192" s="5">
        <v>0</v>
      </c>
      <c r="N192" s="5">
        <v>29300272</v>
      </c>
      <c r="O192" s="5">
        <v>61.1</v>
      </c>
      <c r="P192" s="5">
        <v>137.07</v>
      </c>
      <c r="Q192" s="5">
        <v>0</v>
      </c>
      <c r="R192" s="5">
        <v>0</v>
      </c>
      <c r="S192" s="5">
        <v>0</v>
      </c>
      <c r="T192" s="5">
        <v>1854.9699999999998</v>
      </c>
      <c r="U192" s="5">
        <v>0</v>
      </c>
      <c r="V192" s="5">
        <v>11320.48</v>
      </c>
      <c r="W192" s="5">
        <v>26180.09</v>
      </c>
      <c r="X192" s="5">
        <v>8280.3700000000008</v>
      </c>
      <c r="Y192" s="5">
        <v>1.3</v>
      </c>
      <c r="Z192" s="5">
        <v>43</v>
      </c>
      <c r="AA192" s="5">
        <v>261</v>
      </c>
      <c r="AB192" s="5">
        <v>93</v>
      </c>
      <c r="AC192" s="5">
        <v>145</v>
      </c>
      <c r="AD192" s="5">
        <v>0</v>
      </c>
      <c r="AE192" s="5">
        <v>0</v>
      </c>
      <c r="AF192" s="5">
        <v>2.5599999999999996</v>
      </c>
      <c r="AG192" s="5">
        <v>0</v>
      </c>
      <c r="AH192" s="5">
        <v>0.36799999999999999</v>
      </c>
      <c r="AI192" s="5">
        <v>0</v>
      </c>
      <c r="AJ192" s="5">
        <v>0</v>
      </c>
      <c r="AK192" s="5">
        <v>0</v>
      </c>
      <c r="AL192" s="5">
        <v>536.20000000000005</v>
      </c>
      <c r="AM192" s="5">
        <v>8.2999999999999545</v>
      </c>
      <c r="AN192" s="5">
        <v>542</v>
      </c>
      <c r="AO192" s="5">
        <f t="shared" si="141"/>
        <v>0</v>
      </c>
      <c r="AP192" s="5">
        <f t="shared" si="175"/>
        <v>0</v>
      </c>
      <c r="AQ192" s="5">
        <v>5.47</v>
      </c>
      <c r="AR192" s="5">
        <v>0.06</v>
      </c>
      <c r="AS192" s="5">
        <v>3500</v>
      </c>
      <c r="AT192" s="5">
        <v>113750</v>
      </c>
      <c r="AU192" s="5">
        <v>350</v>
      </c>
      <c r="AV192" s="5">
        <v>3150</v>
      </c>
      <c r="AW192" s="5">
        <v>30.04</v>
      </c>
      <c r="AX192" s="5">
        <v>2</v>
      </c>
      <c r="AY192" s="199">
        <v>0</v>
      </c>
      <c r="AZ192" s="199">
        <v>0</v>
      </c>
      <c r="BA192" s="5">
        <v>344868.98</v>
      </c>
      <c r="BB192" s="13">
        <v>1644751.38</v>
      </c>
      <c r="BC192" s="101">
        <f>MAX(ROUND(IF(F192&lt;4,IF(H192=0,(SUM(Y192:AD192)*Worksheet!$E$26+Y192*Worksheet!$E$27+AR192*Worksheet!$E$39)*-BaseRate,0)),2),MIN(0,-DI192))</f>
        <v>0</v>
      </c>
      <c r="BD192" s="101">
        <f>MAX(ROUND(IF(F192=4,0,IF(I192=0,0,ROUND(SUM(Y192:AD192)*Worksheet!$E$28,2)*-BaseRate)),2),MIN(0,-DI192-BC192))</f>
        <v>-12679.97</v>
      </c>
      <c r="BE192" s="130">
        <f t="shared" si="134"/>
        <v>0</v>
      </c>
      <c r="BF192" s="130">
        <f t="shared" si="135"/>
        <v>1403</v>
      </c>
      <c r="BG192" s="73"/>
      <c r="BH192" s="118">
        <f t="shared" si="136"/>
        <v>47758.43</v>
      </c>
      <c r="BI192" s="118">
        <f t="shared" si="137"/>
        <v>10433.58</v>
      </c>
      <c r="BJ192" s="232">
        <f>IFERROR(ROUND(IF(AND(BB192*1.12&lt;N192*60/1000,N192/CL192&lt;STVPP*0.2),(CL192*STVPP*0.2*Worksheet!$F$88/1000-BB192*1.12)*PropTaxAdj,IF(BB192*1.12&lt;N192*60/1000,(N192*60/1000-BB192*1.12)*PropTaxAdj,0)),2),0)</f>
        <v>0</v>
      </c>
      <c r="BK192" s="116">
        <f>ROUND(IF($F192=4,0,Y192*Worksheet!$E$16),2)</f>
        <v>1.3</v>
      </c>
      <c r="BL192" s="116">
        <f>ROUND(IF($F192=4,0,Z192*Worksheet!$E$17),2)</f>
        <v>43</v>
      </c>
      <c r="BM192" s="116">
        <f>ROUND(IF($F192=4,0,AA192*Worksheet!$E$18),2)</f>
        <v>261</v>
      </c>
      <c r="BN192" s="116">
        <f>ROUND(IF($F192=4,0,AB192*Worksheet!$E$19),2)</f>
        <v>93</v>
      </c>
      <c r="BO192" s="116">
        <f>ROUND(IF($F192=4,0,AC192*Worksheet!$E$20),2)</f>
        <v>145</v>
      </c>
      <c r="BP192" s="116">
        <f>ROUND(AD192*Worksheet!$E$21,2)</f>
        <v>0</v>
      </c>
      <c r="BQ192" s="116">
        <f t="shared" si="153"/>
        <v>543.29999999999995</v>
      </c>
      <c r="BR192" s="116">
        <f>ROUND(AD192*Worksheet!$E$25,2)</f>
        <v>0</v>
      </c>
      <c r="BS192" s="116">
        <f>ROUND(SUM(BQ192)*Worksheet!$E$26,2)</f>
        <v>47.81</v>
      </c>
      <c r="BT192" s="116">
        <f>ROUND(Y192*Worksheet!$E$27,2)</f>
        <v>0.22</v>
      </c>
      <c r="BU192" s="116">
        <f>ROUND(AO192*Worksheet!$E$29,2)</f>
        <v>0</v>
      </c>
      <c r="BV192" s="116">
        <f>ROUND(AP192*Worksheet!$E$30,2)</f>
        <v>0</v>
      </c>
      <c r="BW192" s="116">
        <f>ROUND(IF($I192&lt;&gt;0,$BQ192*Worksheet!$E$28,0),2)</f>
        <v>1.0900000000000001</v>
      </c>
      <c r="BX192" s="116">
        <f>ROUND(AE192*Worksheet!$E$31,2)</f>
        <v>0</v>
      </c>
      <c r="BY192" s="116">
        <f>ROUND(AF192*Worksheet!$E$32,2)</f>
        <v>0.72</v>
      </c>
      <c r="BZ192" s="116">
        <f>ROUND(AG192*Worksheet!$E$33,2)</f>
        <v>0</v>
      </c>
      <c r="CA192" s="116">
        <f>ROUND(ROUND(AH192*BQ192,2)*Worksheet!$E$34,2)</f>
        <v>5</v>
      </c>
      <c r="CB192" s="116">
        <f>ROUND(AI192*Worksheet!$E$35,2)</f>
        <v>0</v>
      </c>
      <c r="CC192" s="116">
        <f>ROUND(AJ192*Worksheet!$E$36,2)</f>
        <v>0</v>
      </c>
      <c r="CD192" s="116">
        <f>ROUND(AQ192*Worksheet!$E$38,2)</f>
        <v>3.28</v>
      </c>
      <c r="CE192" s="116">
        <f>ROUND(AR192*Worksheet!$E$39,2)</f>
        <v>0.06</v>
      </c>
      <c r="CF192" s="116">
        <f>IF(AND(L192&gt;275,SUM(Y192:AD192)&lt;100),ROUND(SUM(Y192:AD192)*Worksheet!$E$41,2),0)</f>
        <v>0</v>
      </c>
      <c r="CG192" s="116">
        <f>IF(AND(L192&gt;600,SUM(Y192:AD192)&lt;50),ROUND((50-SUM(Y192:AD192))*(Worksheet!$E$41+1),2),0)</f>
        <v>0</v>
      </c>
      <c r="CH192" s="116">
        <f t="shared" si="154"/>
        <v>601.4799999999999</v>
      </c>
      <c r="CI192" s="116">
        <f t="shared" si="142"/>
        <v>0</v>
      </c>
      <c r="CJ192" s="116">
        <f t="shared" si="143"/>
        <v>601.4799999999999</v>
      </c>
      <c r="CK192" s="95">
        <f t="shared" si="138"/>
        <v>1.02</v>
      </c>
      <c r="CL192" s="116">
        <f t="shared" si="144"/>
        <v>613.51</v>
      </c>
      <c r="CM192" s="116">
        <f t="shared" si="145"/>
        <v>613.51</v>
      </c>
      <c r="CN192" s="116">
        <f t="shared" si="139"/>
        <v>7136961.8300000001</v>
      </c>
      <c r="CO192" s="131">
        <f>ROUND(IF(F192=4,0,(MAX(ROUND(MAX((BI192*MIN(CL192,K192)*Worksheet!$D$126)+MAX(CL192-K192,0)*Worksheet!$F$50,SUM(J192)),2),SUM(CN192))-SUM(CN192))*MinAdj),2)</f>
        <v>0</v>
      </c>
      <c r="CP192" s="116">
        <f t="shared" si="140"/>
        <v>7136961.8300000001</v>
      </c>
      <c r="CQ192" s="131">
        <f>IF(CL192=0,0,-MIN(CP192,MIN(CP192,ROUND(IF(ROUND(IF(CL192=0,0,N192/CL192),2)&lt;STVPP*0.2,STVPP*0.2*CL192*Worksheet!$F$88/1000,N192*Worksheet!$F$88/1000),2))))</f>
        <v>-1758016.32</v>
      </c>
      <c r="CR192" s="131">
        <f>-MIN(SUM(CP192,CQ192),IF($P192=0,(ROUND(Worksheet!$E$77*S192,2)+ROUND(Worksheet!$E$78*T192,2)+ROUND(Worksheet!$E$79*U192,2)+ROUND(Worksheet!$E$80*V192,2)+ROUND(Worksheet!$E$81*W192,2)+ROUND(Worksheet!$E$82*X192,2)),(ROUND(ROUND(S192*ROUND((1-$O192/$P192),4),2)*Worksheet!$E$77,2)+ROUND(ROUND(T192*ROUND((1-$O192/$P192),4),2)*Worksheet!$E$78,2)+ROUND(ROUND(U192*ROUND((1-$O192/$P192),4),2)*Worksheet!$E$79,2)+ROUND(ROUND(V192*ROUND((1-$O192/$P192),4),2)*Worksheet!$E$80,2)+ROUND(ROUND(W192*ROUND((1-$O192/$P192),4),2)*Worksheet!$E$81,2)+ROUND(ROUND(X192*ROUND((1-$O192/$P192),4),2)*Worksheet!$E$82,2))))</f>
        <v>-19799.879999999997</v>
      </c>
      <c r="CS192" s="116">
        <f t="shared" si="155"/>
        <v>5359145.63</v>
      </c>
      <c r="CT192" s="116">
        <f>ROUND(MIN(BA192,ROUND((ROUND(AS192*Worksheet!$E$104,2)+ROUND(AV192*Worksheet!$E$107,2)+ROUND(AT192*Worksheet!$E$105,2)+ROUND(AW192*Worksheet!$E$108,2)+ROUND(AU192*Worksheet!$E$106,2)+ROUND(AX192*Worksheet!$E$109,2)+ROUND(AY192*Worksheet!$E$110,2)+ROUND(AZ192*Worksheet!$E$111,2))*Worksheet!$D$114,2))*BaseRate,2)</f>
        <v>174029.68</v>
      </c>
      <c r="CU192" s="121">
        <v>0</v>
      </c>
      <c r="CV192" s="121">
        <v>0</v>
      </c>
      <c r="CW192" s="121">
        <v>0</v>
      </c>
      <c r="CX192" s="121">
        <v>0</v>
      </c>
      <c r="CY192" s="121">
        <v>0</v>
      </c>
      <c r="DA192" s="116">
        <f t="shared" si="156"/>
        <v>0</v>
      </c>
      <c r="DB192" s="116">
        <f>MAX(-CT192,MIN(0,ROUND($R192*EFBPercent+EFBAdd,2)-$Q192),MIN(0,SUM($CS192:CS192)+MIN(0,ROUND($R192*EFBPercent+EFBAdd,2)-$Q192)))</f>
        <v>0</v>
      </c>
      <c r="DC192" s="192">
        <f>IF(CU192&lt;0,0,MAX(-CU192,MIN(0,ROUND($R192*EFBPercent+EFBAdd,2)-$Q192),MIN(0,SUM($CS192:CT192)+MIN(0,ROUND($R192*EFBPercent+EFBAdd,2)-$Q192))))</f>
        <v>0</v>
      </c>
      <c r="DD192" s="192">
        <f>IF(CV192&lt;0,0,MAX(-CV192,MIN(0,ROUND($R192*EFBPercent+EFBAdd,2)-$Q192),MIN(0,SUM($CS192:CU192)+MIN(0,ROUND($R192*EFBPercent+EFBAdd,2)-$Q192))))</f>
        <v>0</v>
      </c>
      <c r="DE192" s="192">
        <f>IF(CW192&lt;0,0,MAX(-CW192,MIN(0,ROUND($R192*EFBPercent+EFBAdd,2)-$Q192),MIN(0,SUM($CS192:CV192)+MIN(0,ROUND($R192*EFBPercent+EFBAdd,2)-$Q192))))</f>
        <v>0</v>
      </c>
      <c r="DF192" s="192">
        <f>IF(CX192&lt;0,0,MAX(-CX192,MIN(0,ROUND($R192*EFBPercent+EFBAdd,2)-$Q192),MIN(0,SUM($CS192:CW192)+MIN(0,ROUND($R192*EFBPercent+EFBAdd,2)-$Q192))))</f>
        <v>0</v>
      </c>
      <c r="DG192" s="116">
        <f>MAX(-CY192,MIN(0,ROUND($R192*EFBPercent+EFBAdd,2)-$Q192),MIN(0,SUM($CS192:CX192)+MIN(0,ROUND($R192*EFBPercent+EFBAdd,2)-$Q192)))</f>
        <v>0</v>
      </c>
      <c r="DI192" s="73">
        <f t="shared" si="157"/>
        <v>5359145.63</v>
      </c>
      <c r="DJ192" s="73">
        <f t="shared" si="158"/>
        <v>174029.68</v>
      </c>
      <c r="DK192" s="73">
        <f t="shared" si="159"/>
        <v>0</v>
      </c>
      <c r="DL192" s="73">
        <f t="shared" si="160"/>
        <v>0</v>
      </c>
      <c r="DM192" s="73">
        <f t="shared" si="161"/>
        <v>0</v>
      </c>
      <c r="DN192" s="73">
        <f t="shared" si="162"/>
        <v>0</v>
      </c>
      <c r="DO192" s="73">
        <f t="shared" si="163"/>
        <v>0</v>
      </c>
      <c r="DP192" s="73"/>
      <c r="DQ192" s="73"/>
    </row>
    <row r="193" spans="1:121" ht="10.199999999999999" x14ac:dyDescent="0.2">
      <c r="A193" s="4" t="s">
        <v>645</v>
      </c>
      <c r="B193" s="72">
        <v>1162</v>
      </c>
      <c r="C193" s="13" t="s">
        <v>167</v>
      </c>
      <c r="D193" s="4">
        <v>2027</v>
      </c>
      <c r="E193" s="4" t="s">
        <v>479</v>
      </c>
      <c r="F193" s="4">
        <v>1</v>
      </c>
      <c r="G193" s="4" t="s">
        <v>684</v>
      </c>
      <c r="H193" s="4">
        <v>100</v>
      </c>
      <c r="I193" s="4" t="s">
        <v>1091</v>
      </c>
      <c r="J193" s="5">
        <v>6932869.5800000001</v>
      </c>
      <c r="K193" s="5">
        <v>718.73</v>
      </c>
      <c r="L193" s="5">
        <v>345.68</v>
      </c>
      <c r="M193" s="5">
        <v>0</v>
      </c>
      <c r="N193" s="5">
        <v>24661683</v>
      </c>
      <c r="O193" s="5">
        <v>40.04</v>
      </c>
      <c r="P193" s="5">
        <v>127.07</v>
      </c>
      <c r="Q193" s="5">
        <v>0</v>
      </c>
      <c r="R193" s="5">
        <v>0</v>
      </c>
      <c r="S193" s="5">
        <v>0</v>
      </c>
      <c r="T193" s="5">
        <v>2316.3200000000002</v>
      </c>
      <c r="U193" s="5">
        <v>0</v>
      </c>
      <c r="V193" s="5">
        <v>16373.78</v>
      </c>
      <c r="W193" s="5">
        <v>10449.220000000001</v>
      </c>
      <c r="X193" s="5">
        <v>17711.199999999997</v>
      </c>
      <c r="Y193" s="5">
        <v>1.64</v>
      </c>
      <c r="Z193" s="5">
        <v>47</v>
      </c>
      <c r="AA193" s="5">
        <v>320</v>
      </c>
      <c r="AB193" s="5">
        <v>106</v>
      </c>
      <c r="AC193" s="5">
        <v>172</v>
      </c>
      <c r="AD193" s="5">
        <v>0</v>
      </c>
      <c r="AE193" s="5">
        <v>0</v>
      </c>
      <c r="AF193" s="5">
        <v>0</v>
      </c>
      <c r="AG193" s="5">
        <v>1</v>
      </c>
      <c r="AH193" s="5">
        <v>0.17100000000000001</v>
      </c>
      <c r="AI193" s="5">
        <v>0</v>
      </c>
      <c r="AJ193" s="5">
        <v>0</v>
      </c>
      <c r="AK193" s="5">
        <v>0</v>
      </c>
      <c r="AL193" s="5">
        <v>638.11</v>
      </c>
      <c r="AM193" s="5">
        <v>0</v>
      </c>
      <c r="AN193" s="5">
        <v>645</v>
      </c>
      <c r="AO193" s="5">
        <f t="shared" si="141"/>
        <v>0</v>
      </c>
      <c r="AP193" s="5">
        <f t="shared" si="175"/>
        <v>0</v>
      </c>
      <c r="AQ193" s="5">
        <v>0</v>
      </c>
      <c r="AR193" s="5">
        <v>0</v>
      </c>
      <c r="AS193" s="5">
        <v>14350</v>
      </c>
      <c r="AT193" s="5">
        <v>254100</v>
      </c>
      <c r="AU193" s="5">
        <v>350</v>
      </c>
      <c r="AV193" s="5">
        <v>6650</v>
      </c>
      <c r="AW193" s="5">
        <v>345.68</v>
      </c>
      <c r="AX193" s="5">
        <v>2</v>
      </c>
      <c r="AY193" s="199">
        <v>0</v>
      </c>
      <c r="AZ193" s="199">
        <v>0</v>
      </c>
      <c r="BA193" s="5">
        <v>673051.07</v>
      </c>
      <c r="BB193" s="13">
        <v>1403058.3</v>
      </c>
      <c r="BC193" s="101">
        <f>MAX(ROUND(IF(F193&lt;4,IF(H193=0,(SUM(Y193:AD193)*Worksheet!$E$26+Y193*Worksheet!$E$27+AR193*Worksheet!$E$39)*-BaseRate,0)),2),MIN(0,-DI193))</f>
        <v>0</v>
      </c>
      <c r="BD193" s="101">
        <f>MAX(ROUND(IF(F193=4,0,IF(I193=0,0,ROUND(SUM(Y193:AD193)*Worksheet!$E$28,2)*-BaseRate)),2),MIN(0,-DI193-BC193))</f>
        <v>-15006.57</v>
      </c>
      <c r="BE193" s="130">
        <f t="shared" si="134"/>
        <v>0</v>
      </c>
      <c r="BF193" s="130">
        <f t="shared" si="135"/>
        <v>1403</v>
      </c>
      <c r="BG193" s="73"/>
      <c r="BH193" s="118">
        <f t="shared" si="136"/>
        <v>34490.9</v>
      </c>
      <c r="BI193" s="118">
        <f t="shared" si="137"/>
        <v>9646</v>
      </c>
      <c r="BJ193" s="232">
        <f>IFERROR(ROUND(IF(AND(BB193*1.12&lt;N193*60/1000,N193/CL193&lt;STVPP*0.2),(CL193*STVPP*0.2*Worksheet!$F$88/1000-BB193*1.12)*PropTaxAdj,IF(BB193*1.12&lt;N193*60/1000,(N193*60/1000-BB193*1.12)*PropTaxAdj,0)),2),0)</f>
        <v>0</v>
      </c>
      <c r="BK193" s="116">
        <f>ROUND(IF($F193=4,0,Y193*Worksheet!$E$16),2)</f>
        <v>1.64</v>
      </c>
      <c r="BL193" s="116">
        <f>ROUND(IF($F193=4,0,Z193*Worksheet!$E$17),2)</f>
        <v>47</v>
      </c>
      <c r="BM193" s="116">
        <f>ROUND(IF($F193=4,0,AA193*Worksheet!$E$18),2)</f>
        <v>320</v>
      </c>
      <c r="BN193" s="116">
        <f>ROUND(IF($F193=4,0,AB193*Worksheet!$E$19),2)</f>
        <v>106</v>
      </c>
      <c r="BO193" s="116">
        <f>ROUND(IF($F193=4,0,AC193*Worksheet!$E$20),2)</f>
        <v>172</v>
      </c>
      <c r="BP193" s="116">
        <f>ROUND(AD193*Worksheet!$E$21,2)</f>
        <v>0</v>
      </c>
      <c r="BQ193" s="116">
        <f t="shared" si="153"/>
        <v>646.64</v>
      </c>
      <c r="BR193" s="116">
        <f>ROUND(AD193*Worksheet!$E$25,2)</f>
        <v>0</v>
      </c>
      <c r="BS193" s="116">
        <f>ROUND(SUM(BQ193)*Worksheet!$E$26,2)</f>
        <v>56.9</v>
      </c>
      <c r="BT193" s="116">
        <f>ROUND(Y193*Worksheet!$E$27,2)</f>
        <v>0.28000000000000003</v>
      </c>
      <c r="BU193" s="116">
        <f>ROUND(AO193*Worksheet!$E$29,2)</f>
        <v>0</v>
      </c>
      <c r="BV193" s="116">
        <f>ROUND(AP193*Worksheet!$E$30,2)</f>
        <v>0</v>
      </c>
      <c r="BW193" s="116">
        <f>ROUND(IF($I193&lt;&gt;0,$BQ193*Worksheet!$E$28,0),2)</f>
        <v>1.29</v>
      </c>
      <c r="BX193" s="116">
        <f>ROUND(AE193*Worksheet!$E$31,2)</f>
        <v>0</v>
      </c>
      <c r="BY193" s="116">
        <f>ROUND(AF193*Worksheet!$E$32,2)</f>
        <v>0</v>
      </c>
      <c r="BZ193" s="116">
        <f>ROUND(AG193*Worksheet!$E$33,2)</f>
        <v>7.0000000000000007E-2</v>
      </c>
      <c r="CA193" s="116">
        <f>ROUND(ROUND(AH193*BQ193,2)*Worksheet!$E$34,2)</f>
        <v>2.76</v>
      </c>
      <c r="CB193" s="116">
        <f>ROUND(AI193*Worksheet!$E$35,2)</f>
        <v>0</v>
      </c>
      <c r="CC193" s="116">
        <f>ROUND(AJ193*Worksheet!$E$36,2)</f>
        <v>0</v>
      </c>
      <c r="CD193" s="116">
        <f>ROUND(AQ193*Worksheet!$E$38,2)</f>
        <v>0</v>
      </c>
      <c r="CE193" s="116">
        <f>ROUND(AR193*Worksheet!$E$39,2)</f>
        <v>0</v>
      </c>
      <c r="CF193" s="116">
        <f>IF(AND(L193&gt;275,SUM(Y193:AD193)&lt;100),ROUND(SUM(Y193:AD193)*Worksheet!$E$41,2),0)</f>
        <v>0</v>
      </c>
      <c r="CG193" s="116">
        <f>IF(AND(L193&gt;600,SUM(Y193:AD193)&lt;50),ROUND((50-SUM(Y193:AD193))*(Worksheet!$E$41+1),2),0)</f>
        <v>0</v>
      </c>
      <c r="CH193" s="116">
        <f t="shared" si="154"/>
        <v>707.93999999999994</v>
      </c>
      <c r="CI193" s="116">
        <f t="shared" si="142"/>
        <v>0</v>
      </c>
      <c r="CJ193" s="116">
        <f t="shared" si="143"/>
        <v>707.93999999999994</v>
      </c>
      <c r="CK193" s="95">
        <f t="shared" si="138"/>
        <v>1.01</v>
      </c>
      <c r="CL193" s="116">
        <f t="shared" si="144"/>
        <v>715.02</v>
      </c>
      <c r="CM193" s="116">
        <f t="shared" si="145"/>
        <v>715.02</v>
      </c>
      <c r="CN193" s="116">
        <f t="shared" si="139"/>
        <v>8317827.6600000001</v>
      </c>
      <c r="CO193" s="131">
        <f>ROUND(IF(F193=4,0,(MAX(ROUND(MAX((BI193*MIN(CL193,K193)*Worksheet!$D$126)+MAX(CL193-K193,0)*Worksheet!$F$50,SUM(J193)),2),SUM(CN193))-SUM(CN193))*MinAdj),2)</f>
        <v>0</v>
      </c>
      <c r="CP193" s="116">
        <f t="shared" si="140"/>
        <v>8317827.6600000001</v>
      </c>
      <c r="CQ193" s="131">
        <f>IF(CL193=0,0,-MIN(CP193,MIN(CP193,ROUND(IF(ROUND(IF(CL193=0,0,N193/CL193),2)&lt;STVPP*0.2,STVPP*0.2*CL193*Worksheet!$F$88/1000,N193*Worksheet!$F$88/1000),2))))</f>
        <v>-1479700.98</v>
      </c>
      <c r="CR193" s="131">
        <f>-MIN(SUM(CP193,CQ193),IF($P193=0,(ROUND(Worksheet!$E$77*S193,2)+ROUND(Worksheet!$E$78*T193,2)+ROUND(Worksheet!$E$79*U193,2)+ROUND(Worksheet!$E$80*V193,2)+ROUND(Worksheet!$E$81*W193,2)+ROUND(Worksheet!$E$82*X193,2)),(ROUND(ROUND(S193*ROUND((1-$O193/$P193),4),2)*Worksheet!$E$77,2)+ROUND(ROUND(T193*ROUND((1-$O193/$P193),4),2)*Worksheet!$E$78,2)+ROUND(ROUND(U193*ROUND((1-$O193/$P193),4),2)*Worksheet!$E$79,2)+ROUND(ROUND(V193*ROUND((1-$O193/$P193),4),2)*Worksheet!$E$80,2)+ROUND(ROUND(W193*ROUND((1-$O193/$P193),4),2)*Worksheet!$E$81,2)+ROUND(ROUND(X193*ROUND((1-$O193/$P193),4),2)*Worksheet!$E$82,2))))</f>
        <v>-24065.94</v>
      </c>
      <c r="CS193" s="116">
        <f t="shared" si="155"/>
        <v>6814060.7399999993</v>
      </c>
      <c r="CT193" s="116">
        <f>ROUND(MIN(BA193,ROUND((ROUND(AS193*Worksheet!$E$104,2)+ROUND(AV193*Worksheet!$E$107,2)+ROUND(AT193*Worksheet!$E$105,2)+ROUND(AW193*Worksheet!$E$108,2)+ROUND(AU193*Worksheet!$E$106,2)+ROUND(AX193*Worksheet!$E$109,2)+ROUND(AY193*Worksheet!$E$110,2)+ROUND(AZ193*Worksheet!$E$111,2))*Worksheet!$D$114,2))*BaseRate,2)</f>
        <v>384586.98</v>
      </c>
      <c r="CU193" s="121">
        <v>0</v>
      </c>
      <c r="CV193" s="121">
        <v>0</v>
      </c>
      <c r="CW193" s="121">
        <v>0</v>
      </c>
      <c r="CX193" s="121">
        <v>0</v>
      </c>
      <c r="CY193" s="121">
        <v>0</v>
      </c>
      <c r="DA193" s="116">
        <f t="shared" si="156"/>
        <v>0</v>
      </c>
      <c r="DB193" s="116">
        <f>MAX(-CT193,MIN(0,ROUND($R193*EFBPercent+EFBAdd,2)-$Q193),MIN(0,SUM($CS193:CS193)+MIN(0,ROUND($R193*EFBPercent+EFBAdd,2)-$Q193)))</f>
        <v>0</v>
      </c>
      <c r="DC193" s="192">
        <f>IF(CU193&lt;0,0,MAX(-CU193,MIN(0,ROUND($R193*EFBPercent+EFBAdd,2)-$Q193),MIN(0,SUM($CS193:CT193)+MIN(0,ROUND($R193*EFBPercent+EFBAdd,2)-$Q193))))</f>
        <v>0</v>
      </c>
      <c r="DD193" s="192">
        <f>IF(CV193&lt;0,0,MAX(-CV193,MIN(0,ROUND($R193*EFBPercent+EFBAdd,2)-$Q193),MIN(0,SUM($CS193:CU193)+MIN(0,ROUND($R193*EFBPercent+EFBAdd,2)-$Q193))))</f>
        <v>0</v>
      </c>
      <c r="DE193" s="192">
        <f>IF(CW193&lt;0,0,MAX(-CW193,MIN(0,ROUND($R193*EFBPercent+EFBAdd,2)-$Q193),MIN(0,SUM($CS193:CV193)+MIN(0,ROUND($R193*EFBPercent+EFBAdd,2)-$Q193))))</f>
        <v>0</v>
      </c>
      <c r="DF193" s="192">
        <f>IF(CX193&lt;0,0,MAX(-CX193,MIN(0,ROUND($R193*EFBPercent+EFBAdd,2)-$Q193),MIN(0,SUM($CS193:CW193)+MIN(0,ROUND($R193*EFBPercent+EFBAdd,2)-$Q193))))</f>
        <v>0</v>
      </c>
      <c r="DG193" s="116">
        <f>MAX(-CY193,MIN(0,ROUND($R193*EFBPercent+EFBAdd,2)-$Q193),MIN(0,SUM($CS193:CX193)+MIN(0,ROUND($R193*EFBPercent+EFBAdd,2)-$Q193)))</f>
        <v>0</v>
      </c>
      <c r="DI193" s="73">
        <f t="shared" si="157"/>
        <v>6814060.7399999993</v>
      </c>
      <c r="DJ193" s="73">
        <f t="shared" si="158"/>
        <v>384586.98</v>
      </c>
      <c r="DK193" s="73">
        <f t="shared" si="159"/>
        <v>0</v>
      </c>
      <c r="DL193" s="73">
        <f t="shared" si="160"/>
        <v>0</v>
      </c>
      <c r="DM193" s="73">
        <f t="shared" si="161"/>
        <v>0</v>
      </c>
      <c r="DN193" s="73">
        <f t="shared" si="162"/>
        <v>0</v>
      </c>
      <c r="DO193" s="73">
        <f t="shared" si="163"/>
        <v>0</v>
      </c>
      <c r="DP193" s="73"/>
      <c r="DQ193" s="73"/>
    </row>
    <row r="194" spans="1:121" ht="10.199999999999999" x14ac:dyDescent="0.2">
      <c r="A194" s="4" t="s">
        <v>646</v>
      </c>
      <c r="B194" s="72">
        <v>1142</v>
      </c>
      <c r="C194" s="13" t="s">
        <v>168</v>
      </c>
      <c r="D194" s="4">
        <v>2027</v>
      </c>
      <c r="E194" s="4" t="s">
        <v>480</v>
      </c>
      <c r="F194" s="4">
        <v>1</v>
      </c>
      <c r="G194" s="4" t="s">
        <v>684</v>
      </c>
      <c r="H194" s="4">
        <v>100</v>
      </c>
      <c r="I194" s="4" t="s">
        <v>1091</v>
      </c>
      <c r="J194" s="5">
        <v>1572244.81</v>
      </c>
      <c r="K194" s="5">
        <v>41.64</v>
      </c>
      <c r="L194" s="5">
        <v>200.65</v>
      </c>
      <c r="M194" s="5">
        <v>0</v>
      </c>
      <c r="N194" s="5">
        <v>7879193</v>
      </c>
      <c r="O194" s="5">
        <v>0</v>
      </c>
      <c r="P194" s="5">
        <v>110.99</v>
      </c>
      <c r="Q194" s="5">
        <v>0</v>
      </c>
      <c r="R194" s="5">
        <v>0</v>
      </c>
      <c r="S194" s="5">
        <v>650.79999999999995</v>
      </c>
      <c r="T194" s="5">
        <v>288.97000000000003</v>
      </c>
      <c r="U194" s="5">
        <v>0</v>
      </c>
      <c r="V194" s="5">
        <v>22855.67</v>
      </c>
      <c r="W194" s="5">
        <v>2292.14</v>
      </c>
      <c r="X194" s="5">
        <v>15415.65</v>
      </c>
      <c r="Y194" s="5">
        <v>0.99</v>
      </c>
      <c r="Z194" s="5">
        <v>8</v>
      </c>
      <c r="AA194" s="5">
        <v>41</v>
      </c>
      <c r="AB194" s="5">
        <v>10</v>
      </c>
      <c r="AC194" s="5">
        <v>24</v>
      </c>
      <c r="AD194" s="5">
        <v>0</v>
      </c>
      <c r="AE194" s="5">
        <v>0</v>
      </c>
      <c r="AF194" s="5">
        <v>0</v>
      </c>
      <c r="AG194" s="5">
        <v>0</v>
      </c>
      <c r="AH194" s="5">
        <v>0.49099999999999999</v>
      </c>
      <c r="AI194" s="5">
        <v>0</v>
      </c>
      <c r="AJ194" s="5">
        <v>0</v>
      </c>
      <c r="AK194" s="5">
        <v>0</v>
      </c>
      <c r="AL194" s="5">
        <v>82.38</v>
      </c>
      <c r="AM194" s="5">
        <v>0</v>
      </c>
      <c r="AN194" s="5">
        <v>83</v>
      </c>
      <c r="AO194" s="5">
        <f t="shared" si="141"/>
        <v>0</v>
      </c>
      <c r="AP194" s="5">
        <f t="shared" si="175"/>
        <v>0</v>
      </c>
      <c r="AQ194" s="5">
        <v>0.75</v>
      </c>
      <c r="AR194" s="5">
        <v>0</v>
      </c>
      <c r="AS194" s="5">
        <v>0</v>
      </c>
      <c r="AT194" s="5">
        <v>21350</v>
      </c>
      <c r="AU194" s="5">
        <v>0</v>
      </c>
      <c r="AV194" s="5">
        <v>1050</v>
      </c>
      <c r="AW194" s="5">
        <v>200.65</v>
      </c>
      <c r="AX194" s="5">
        <v>1</v>
      </c>
      <c r="AY194" s="199">
        <v>0</v>
      </c>
      <c r="AZ194" s="199">
        <v>0</v>
      </c>
      <c r="BA194" s="5">
        <v>136470.88</v>
      </c>
      <c r="BB194" s="13">
        <v>454760.1</v>
      </c>
      <c r="BC194" s="101">
        <f>MAX(ROUND(IF(F194&lt;4,IF(H194=0,(SUM(Y194:AD194)*Worksheet!$E$26+Y194*Worksheet!$E$27+AR194*Worksheet!$E$39)*-BaseRate,0)),2),MIN(0,-DI194))</f>
        <v>0</v>
      </c>
      <c r="BD194" s="101">
        <f>MAX(ROUND(IF(F194=4,0,IF(I194=0,0,ROUND(SUM(Y194:AD194)*Worksheet!$E$28,2)*-BaseRate)),2),MIN(0,-DI194-BC194))</f>
        <v>-1977.61</v>
      </c>
      <c r="BE194" s="130">
        <f t="shared" si="134"/>
        <v>0</v>
      </c>
      <c r="BF194" s="130">
        <f t="shared" si="135"/>
        <v>1403</v>
      </c>
      <c r="BG194" s="73"/>
      <c r="BH194" s="118">
        <f t="shared" si="136"/>
        <v>50624.47</v>
      </c>
      <c r="BI194" s="118">
        <f t="shared" si="137"/>
        <v>37758.04</v>
      </c>
      <c r="BJ194" s="232">
        <f>IFERROR(ROUND(IF(AND(BB194*1.12&lt;N194*60/1000,N194/CL194&lt;STVPP*0.2),(CL194*STVPP*0.2*Worksheet!$F$88/1000-BB194*1.12)*PropTaxAdj,IF(BB194*1.12&lt;N194*60/1000,(N194*60/1000-BB194*1.12)*PropTaxAdj,0)),2),0)</f>
        <v>0</v>
      </c>
      <c r="BK194" s="116">
        <f>ROUND(IF($F194=4,0,Y194*Worksheet!$E$16),2)</f>
        <v>0.99</v>
      </c>
      <c r="BL194" s="116">
        <f>ROUND(IF($F194=4,0,Z194*Worksheet!$E$17),2)</f>
        <v>8</v>
      </c>
      <c r="BM194" s="116">
        <f>ROUND(IF($F194=4,0,AA194*Worksheet!$E$18),2)</f>
        <v>41</v>
      </c>
      <c r="BN194" s="116">
        <f>ROUND(IF($F194=4,0,AB194*Worksheet!$E$19),2)</f>
        <v>10</v>
      </c>
      <c r="BO194" s="116">
        <f>ROUND(IF($F194=4,0,AC194*Worksheet!$E$20),2)</f>
        <v>24</v>
      </c>
      <c r="BP194" s="116">
        <f>ROUND(AD194*Worksheet!$E$21,2)</f>
        <v>0</v>
      </c>
      <c r="BQ194" s="116">
        <f t="shared" si="153"/>
        <v>83.990000000000009</v>
      </c>
      <c r="BR194" s="116">
        <f>ROUND(AD194*Worksheet!$E$25,2)</f>
        <v>0</v>
      </c>
      <c r="BS194" s="116">
        <f>ROUND(SUM(BQ194)*Worksheet!$E$26,2)</f>
        <v>7.39</v>
      </c>
      <c r="BT194" s="116">
        <f>ROUND(Y194*Worksheet!$E$27,2)</f>
        <v>0.17</v>
      </c>
      <c r="BU194" s="116">
        <f>ROUND(AO194*Worksheet!$E$29,2)</f>
        <v>0</v>
      </c>
      <c r="BV194" s="116">
        <f>ROUND(AP194*Worksheet!$E$30,2)</f>
        <v>0</v>
      </c>
      <c r="BW194" s="116">
        <f>ROUND(IF($I194&lt;&gt;0,$BQ194*Worksheet!$E$28,0),2)</f>
        <v>0.17</v>
      </c>
      <c r="BX194" s="116">
        <f>ROUND(AE194*Worksheet!$E$31,2)</f>
        <v>0</v>
      </c>
      <c r="BY194" s="116">
        <f>ROUND(AF194*Worksheet!$E$32,2)</f>
        <v>0</v>
      </c>
      <c r="BZ194" s="116">
        <f>ROUND(AG194*Worksheet!$E$33,2)</f>
        <v>0</v>
      </c>
      <c r="CA194" s="116">
        <f>ROUND(ROUND(AH194*BQ194,2)*Worksheet!$E$34,2)</f>
        <v>1.03</v>
      </c>
      <c r="CB194" s="116">
        <f>ROUND(AI194*Worksheet!$E$35,2)</f>
        <v>0</v>
      </c>
      <c r="CC194" s="116">
        <f>ROUND(AJ194*Worksheet!$E$36,2)</f>
        <v>0</v>
      </c>
      <c r="CD194" s="116">
        <f>ROUND(AQ194*Worksheet!$E$38,2)</f>
        <v>0.45</v>
      </c>
      <c r="CE194" s="116">
        <f>ROUND(AR194*Worksheet!$E$39,2)</f>
        <v>0</v>
      </c>
      <c r="CF194" s="116">
        <f>IF(AND(L194&gt;275,SUM(Y194:AD194)&lt;100),ROUND(SUM(Y194:AD194)*Worksheet!$E$41,2),0)</f>
        <v>0</v>
      </c>
      <c r="CG194" s="116">
        <f>IF(AND(L194&gt;600,SUM(Y194:AD194)&lt;50),ROUND((50-SUM(Y194:AD194))*(Worksheet!$E$41+1),2),0)</f>
        <v>0</v>
      </c>
      <c r="CH194" s="116">
        <f t="shared" si="154"/>
        <v>93.200000000000017</v>
      </c>
      <c r="CI194" s="116">
        <f t="shared" si="142"/>
        <v>0</v>
      </c>
      <c r="CJ194" s="116">
        <f t="shared" si="143"/>
        <v>93.200000000000017</v>
      </c>
      <c r="CK194" s="95">
        <f t="shared" si="138"/>
        <v>1.67</v>
      </c>
      <c r="CL194" s="116">
        <f t="shared" si="144"/>
        <v>155.63999999999999</v>
      </c>
      <c r="CM194" s="116">
        <f t="shared" si="145"/>
        <v>155.63999999999999</v>
      </c>
      <c r="CN194" s="116">
        <f t="shared" si="139"/>
        <v>1810560.12</v>
      </c>
      <c r="CO194" s="131">
        <f>ROUND(IF(F194=4,0,(MAX(ROUND(MAX((BI194*MIN(CL194,K194)*Worksheet!$D$126)+MAX(CL194-K194,0)*Worksheet!$F$50,SUM(J194)),2),SUM(CN194))-SUM(CN194))*MinAdj),2)</f>
        <v>167893.73</v>
      </c>
      <c r="CP194" s="116">
        <f t="shared" si="140"/>
        <v>1978453.85</v>
      </c>
      <c r="CQ194" s="131">
        <f>IF(CL194=0,0,-MIN(CP194,MIN(CP194,ROUND(IF(ROUND(IF(CL194=0,0,N194/CL194),2)&lt;STVPP*0.2,STVPP*0.2*CL194*Worksheet!$F$88/1000,N194*Worksheet!$F$88/1000),2))))</f>
        <v>-472751.58</v>
      </c>
      <c r="CR194" s="131">
        <f>-MIN(SUM(CP194,CQ194),IF($P194=0,(ROUND(Worksheet!$E$77*S194,2)+ROUND(Worksheet!$E$78*T194,2)+ROUND(Worksheet!$E$79*U194,2)+ROUND(Worksheet!$E$80*V194,2)+ROUND(Worksheet!$E$81*W194,2)+ROUND(Worksheet!$E$82*X194,2)),(ROUND(ROUND(S194*ROUND((1-$O194/$P194),4),2)*Worksheet!$E$77,2)+ROUND(ROUND(T194*ROUND((1-$O194/$P194),4),2)*Worksheet!$E$78,2)+ROUND(ROUND(U194*ROUND((1-$O194/$P194),4),2)*Worksheet!$E$79,2)+ROUND(ROUND(V194*ROUND((1-$O194/$P194),4),2)*Worksheet!$E$80,2)+ROUND(ROUND(W194*ROUND((1-$O194/$P194),4),2)*Worksheet!$E$81,2)+ROUND(ROUND(X194*ROUND((1-$O194/$P194),4),2)*Worksheet!$E$82,2))))</f>
        <v>-31127.43</v>
      </c>
      <c r="CS194" s="116">
        <f t="shared" si="155"/>
        <v>1474574.84</v>
      </c>
      <c r="CT194" s="116">
        <f>ROUND(MIN(BA194,ROUND((ROUND(AS194*Worksheet!$E$104,2)+ROUND(AV194*Worksheet!$E$107,2)+ROUND(AT194*Worksheet!$E$105,2)+ROUND(AW194*Worksheet!$E$108,2)+ROUND(AU194*Worksheet!$E$106,2)+ROUND(AX194*Worksheet!$E$109,2)+ROUND(AY194*Worksheet!$E$110,2)+ROUND(AZ194*Worksheet!$E$111,2))*Worksheet!$D$114,2))*BaseRate,2)</f>
        <v>40599.17</v>
      </c>
      <c r="CU194" s="121">
        <v>0</v>
      </c>
      <c r="CV194" s="121">
        <v>0</v>
      </c>
      <c r="CW194" s="121">
        <v>0</v>
      </c>
      <c r="CX194" s="121">
        <v>0</v>
      </c>
      <c r="CY194" s="121">
        <v>0</v>
      </c>
      <c r="DA194" s="116">
        <f t="shared" si="156"/>
        <v>0</v>
      </c>
      <c r="DB194" s="116">
        <f>MAX(-CT194,MIN(0,ROUND($R194*EFBPercent+EFBAdd,2)-$Q194),MIN(0,SUM($CS194:CS194)+MIN(0,ROUND($R194*EFBPercent+EFBAdd,2)-$Q194)))</f>
        <v>0</v>
      </c>
      <c r="DC194" s="192">
        <f>IF(CU194&lt;0,0,MAX(-CU194,MIN(0,ROUND($R194*EFBPercent+EFBAdd,2)-$Q194),MIN(0,SUM($CS194:CT194)+MIN(0,ROUND($R194*EFBPercent+EFBAdd,2)-$Q194))))</f>
        <v>0</v>
      </c>
      <c r="DD194" s="192">
        <f>IF(CV194&lt;0,0,MAX(-CV194,MIN(0,ROUND($R194*EFBPercent+EFBAdd,2)-$Q194),MIN(0,SUM($CS194:CU194)+MIN(0,ROUND($R194*EFBPercent+EFBAdd,2)-$Q194))))</f>
        <v>0</v>
      </c>
      <c r="DE194" s="192">
        <f>IF(CW194&lt;0,0,MAX(-CW194,MIN(0,ROUND($R194*EFBPercent+EFBAdd,2)-$Q194),MIN(0,SUM($CS194:CV194)+MIN(0,ROUND($R194*EFBPercent+EFBAdd,2)-$Q194))))</f>
        <v>0</v>
      </c>
      <c r="DF194" s="192">
        <f>IF(CX194&lt;0,0,MAX(-CX194,MIN(0,ROUND($R194*EFBPercent+EFBAdd,2)-$Q194),MIN(0,SUM($CS194:CW194)+MIN(0,ROUND($R194*EFBPercent+EFBAdd,2)-$Q194))))</f>
        <v>0</v>
      </c>
      <c r="DG194" s="116">
        <f>MAX(-CY194,MIN(0,ROUND($R194*EFBPercent+EFBAdd,2)-$Q194),MIN(0,SUM($CS194:CX194)+MIN(0,ROUND($R194*EFBPercent+EFBAdd,2)-$Q194)))</f>
        <v>0</v>
      </c>
      <c r="DI194" s="73">
        <f t="shared" si="157"/>
        <v>1474574.84</v>
      </c>
      <c r="DJ194" s="73">
        <f t="shared" si="158"/>
        <v>40599.17</v>
      </c>
      <c r="DK194" s="73">
        <f t="shared" si="159"/>
        <v>0</v>
      </c>
      <c r="DL194" s="73">
        <f t="shared" si="160"/>
        <v>0</v>
      </c>
      <c r="DM194" s="73">
        <f t="shared" si="161"/>
        <v>0</v>
      </c>
      <c r="DN194" s="73">
        <f t="shared" si="162"/>
        <v>0</v>
      </c>
      <c r="DO194" s="73">
        <f t="shared" si="163"/>
        <v>0</v>
      </c>
      <c r="DP194" s="73"/>
      <c r="DQ194" s="73"/>
    </row>
    <row r="195" spans="1:121" ht="10.199999999999999" x14ac:dyDescent="0.2">
      <c r="A195" s="4" t="s">
        <v>647</v>
      </c>
      <c r="B195" s="188">
        <v>1070</v>
      </c>
      <c r="C195" s="189" t="s">
        <v>169</v>
      </c>
      <c r="D195" s="4">
        <v>2027</v>
      </c>
      <c r="E195" s="4" t="s">
        <v>481</v>
      </c>
      <c r="F195" s="4">
        <v>1</v>
      </c>
      <c r="G195" s="4" t="s">
        <v>684</v>
      </c>
      <c r="H195" s="4">
        <v>100</v>
      </c>
      <c r="I195" s="4" t="s">
        <v>1091</v>
      </c>
      <c r="J195" s="5">
        <v>3589758.8999999994</v>
      </c>
      <c r="K195" s="5">
        <v>372.15</v>
      </c>
      <c r="L195" s="5">
        <v>600</v>
      </c>
      <c r="M195" s="5">
        <v>0</v>
      </c>
      <c r="N195" s="5">
        <v>19246567</v>
      </c>
      <c r="O195" s="5">
        <v>0</v>
      </c>
      <c r="P195" s="5">
        <v>102.27</v>
      </c>
      <c r="Q195" s="5">
        <v>0</v>
      </c>
      <c r="R195" s="5">
        <v>0</v>
      </c>
      <c r="S195" s="5">
        <v>0</v>
      </c>
      <c r="T195" s="5">
        <v>101039.01000000001</v>
      </c>
      <c r="U195" s="5">
        <v>0</v>
      </c>
      <c r="V195" s="5">
        <v>27763.79</v>
      </c>
      <c r="W195" s="5">
        <v>6547.7900000000009</v>
      </c>
      <c r="X195" s="5">
        <v>8053.42</v>
      </c>
      <c r="Y195" s="5">
        <v>2</v>
      </c>
      <c r="Z195" s="5">
        <v>24</v>
      </c>
      <c r="AA195" s="5">
        <v>105</v>
      </c>
      <c r="AB195" s="5">
        <v>38</v>
      </c>
      <c r="AC195" s="5">
        <v>88</v>
      </c>
      <c r="AD195" s="5">
        <v>0</v>
      </c>
      <c r="AE195" s="5">
        <v>0</v>
      </c>
      <c r="AF195" s="5">
        <v>0</v>
      </c>
      <c r="AG195" s="5">
        <v>0</v>
      </c>
      <c r="AH195" s="5">
        <v>0.246</v>
      </c>
      <c r="AI195" s="5">
        <v>0</v>
      </c>
      <c r="AJ195" s="5">
        <v>0</v>
      </c>
      <c r="AK195" s="5">
        <v>0</v>
      </c>
      <c r="AL195" s="5">
        <v>253.31</v>
      </c>
      <c r="AM195" s="5">
        <v>0</v>
      </c>
      <c r="AN195" s="5">
        <v>255</v>
      </c>
      <c r="AO195" s="5">
        <f t="shared" si="141"/>
        <v>0</v>
      </c>
      <c r="AP195" s="5">
        <f t="shared" si="175"/>
        <v>0</v>
      </c>
      <c r="AQ195" s="5">
        <v>0</v>
      </c>
      <c r="AR195" s="5">
        <v>0</v>
      </c>
      <c r="AS195" s="5">
        <v>0</v>
      </c>
      <c r="AT195" s="5">
        <v>84770</v>
      </c>
      <c r="AU195" s="5">
        <v>0</v>
      </c>
      <c r="AV195" s="5">
        <v>1384</v>
      </c>
      <c r="AW195" s="5">
        <v>600</v>
      </c>
      <c r="AX195" s="5">
        <v>2</v>
      </c>
      <c r="AY195" s="199">
        <v>0</v>
      </c>
      <c r="AZ195" s="199">
        <v>0</v>
      </c>
      <c r="BA195" s="5">
        <v>270580.31</v>
      </c>
      <c r="BB195" s="13">
        <v>1132233</v>
      </c>
      <c r="BC195" s="190">
        <f>MAX(ROUND(IF(F195&lt;4,IF(H195=0,(SUM(Y195:AD195)*Worksheet!$E$26+Y195*Worksheet!$E$27+AR195*Worksheet!$E$39)*-BaseRate,0)),2),MIN(0,-DI195))</f>
        <v>0</v>
      </c>
      <c r="BD195" s="190">
        <f>MAX(ROUND(IF(F195=4,0,IF(I195=0,0,ROUND(SUM(Y195:AD195)*Worksheet!$E$28,2)*-BaseRate)),2),MIN(0,-DI195-BC195))</f>
        <v>-5932.83</v>
      </c>
      <c r="BE195" s="130">
        <f t="shared" si="134"/>
        <v>0</v>
      </c>
      <c r="BF195" s="130">
        <f t="shared" si="135"/>
        <v>1403</v>
      </c>
      <c r="BG195" s="73"/>
      <c r="BH195" s="191">
        <f t="shared" si="136"/>
        <v>56865.120000000003</v>
      </c>
      <c r="BI195" s="191">
        <f t="shared" si="137"/>
        <v>9646</v>
      </c>
      <c r="BJ195" s="232">
        <f>IFERROR(ROUND(IF(AND(BB195*1.12&lt;N195*60/1000,N195/CL195&lt;STVPP*0.2),(CL195*STVPP*0.2*Worksheet!$F$88/1000-BB195*1.12)*PropTaxAdj,IF(BB195*1.12&lt;N195*60/1000,(N195*60/1000-BB195*1.12)*PropTaxAdj,0)),2),0)</f>
        <v>0</v>
      </c>
      <c r="BK195" s="192">
        <f>ROUND(IF($F195=4,0,Y195*Worksheet!$E$16),2)</f>
        <v>2</v>
      </c>
      <c r="BL195" s="192">
        <f>ROUND(IF($F195=4,0,Z195*Worksheet!$E$17),2)</f>
        <v>24</v>
      </c>
      <c r="BM195" s="192">
        <f>ROUND(IF($F195=4,0,AA195*Worksheet!$E$18),2)</f>
        <v>105</v>
      </c>
      <c r="BN195" s="192">
        <f>ROUND(IF($F195=4,0,AB195*Worksheet!$E$19),2)</f>
        <v>38</v>
      </c>
      <c r="BO195" s="192">
        <f>ROUND(IF($F195=4,0,AC195*Worksheet!$E$20),2)</f>
        <v>88</v>
      </c>
      <c r="BP195" s="192">
        <f>ROUND(AD195*Worksheet!$E$21,2)</f>
        <v>0</v>
      </c>
      <c r="BQ195" s="192">
        <f t="shared" si="153"/>
        <v>257</v>
      </c>
      <c r="BR195" s="192">
        <f>ROUND(AD195*Worksheet!$E$25,2)</f>
        <v>0</v>
      </c>
      <c r="BS195" s="192">
        <f>ROUND(SUM(BQ195)*Worksheet!$E$26,2)</f>
        <v>22.62</v>
      </c>
      <c r="BT195" s="192">
        <f>ROUND(Y195*Worksheet!$E$27,2)</f>
        <v>0.34</v>
      </c>
      <c r="BU195" s="192">
        <f>ROUND(AO195*Worksheet!$E$29,2)</f>
        <v>0</v>
      </c>
      <c r="BV195" s="192">
        <f>ROUND(AP195*Worksheet!$E$30,2)</f>
        <v>0</v>
      </c>
      <c r="BW195" s="192">
        <f>ROUND(IF($I195&lt;&gt;0,$BQ195*Worksheet!$E$28,0),2)</f>
        <v>0.51</v>
      </c>
      <c r="BX195" s="192">
        <f>ROUND(AE195*Worksheet!$E$31,2)</f>
        <v>0</v>
      </c>
      <c r="BY195" s="192">
        <f>ROUND(AF195*Worksheet!$E$32,2)</f>
        <v>0</v>
      </c>
      <c r="BZ195" s="192">
        <f>ROUND(AG195*Worksheet!$E$33,2)</f>
        <v>0</v>
      </c>
      <c r="CA195" s="192">
        <f>ROUND(ROUND(AH195*BQ195,2)*Worksheet!$E$34,2)</f>
        <v>1.58</v>
      </c>
      <c r="CB195" s="192">
        <f>ROUND(AI195*Worksheet!$E$35,2)</f>
        <v>0</v>
      </c>
      <c r="CC195" s="192">
        <f>ROUND(AJ195*Worksheet!$E$36,2)</f>
        <v>0</v>
      </c>
      <c r="CD195" s="192">
        <f>ROUND(AQ195*Worksheet!$E$38,2)</f>
        <v>0</v>
      </c>
      <c r="CE195" s="192">
        <f>ROUND(AR195*Worksheet!$E$39,2)</f>
        <v>0</v>
      </c>
      <c r="CF195" s="192">
        <f>IF(AND(L195&gt;275,SUM(Y195:AD195)&lt;100),ROUND(SUM(Y195:AD195)*Worksheet!$E$41,2),0)</f>
        <v>0</v>
      </c>
      <c r="CG195" s="192">
        <f>IF(AND(L195&gt;600,SUM(Y195:AD195)&lt;50),ROUND((50-SUM(Y195:AD195))*(Worksheet!$E$41+1),2),0)</f>
        <v>0</v>
      </c>
      <c r="CH195" s="192">
        <f t="shared" si="154"/>
        <v>282.04999999999995</v>
      </c>
      <c r="CI195" s="116">
        <f t="shared" si="142"/>
        <v>0</v>
      </c>
      <c r="CJ195" s="116">
        <f t="shared" si="143"/>
        <v>282.04999999999995</v>
      </c>
      <c r="CK195" s="95">
        <f t="shared" si="138"/>
        <v>1.2</v>
      </c>
      <c r="CL195" s="116">
        <f t="shared" si="144"/>
        <v>338.46</v>
      </c>
      <c r="CM195" s="116">
        <f t="shared" si="145"/>
        <v>338.46</v>
      </c>
      <c r="CN195" s="116">
        <f t="shared" ref="CN195:CN210" si="176">ROUND(+CM195*BaseRate,2)</f>
        <v>3937305.18</v>
      </c>
      <c r="CO195" s="131">
        <f>ROUND(IF(F195=4,0,(MAX(ROUND(MAX((BI195*MIN(CL195,K195)*Worksheet!$D$126)+MAX(CL195-K195,0)*Worksheet!$F$50,SUM(J195)),2),SUM(CN195))-SUM(CN195))*MinAdj),2)</f>
        <v>0</v>
      </c>
      <c r="CP195" s="192">
        <f t="shared" ref="CP195:CP210" si="177">SUM(CN195:CO195)</f>
        <v>3937305.18</v>
      </c>
      <c r="CQ195" s="131">
        <f>IF(CL195=0,0,-MIN(CP195,MIN(CP195,ROUND(IF(ROUND(IF(CL195=0,0,N195/CL195),2)&lt;STVPP*0.2,STVPP*0.2*CL195*Worksheet!$F$88/1000,N195*Worksheet!$F$88/1000),2))))</f>
        <v>-1154794.02</v>
      </c>
      <c r="CR195" s="193">
        <f>-MIN(SUM(CP195,CQ195),IF($P195=0,(ROUND(Worksheet!$E$77*S195,2)+ROUND(Worksheet!$E$78*T195,2)+ROUND(Worksheet!$E$79*U195,2)+ROUND(Worksheet!$E$80*V195,2)+ROUND(Worksheet!$E$81*W195,2)+ROUND(Worksheet!$E$82*X195,2)),(ROUND(ROUND(S195*ROUND((1-$O195/$P195),4),2)*Worksheet!$E$77,2)+ROUND(ROUND(T195*ROUND((1-$O195/$P195),4),2)*Worksheet!$E$78,2)+ROUND(ROUND(U195*ROUND((1-$O195/$P195),4),2)*Worksheet!$E$79,2)+ROUND(ROUND(V195*ROUND((1-$O195/$P195),4),2)*Worksheet!$E$80,2)+ROUND(ROUND(W195*ROUND((1-$O195/$P195),4),2)*Worksheet!$E$81,2)+ROUND(ROUND(X195*ROUND((1-$O195/$P195),4),2)*Worksheet!$E$82,2))))</f>
        <v>-107553.00999999998</v>
      </c>
      <c r="CS195" s="192">
        <f t="shared" si="155"/>
        <v>2674958.1500000004</v>
      </c>
      <c r="CT195" s="116">
        <f>ROUND(MIN(BA195,ROUND((ROUND(AS195*Worksheet!$E$104,2)+ROUND(AV195*Worksheet!$E$107,2)+ROUND(AT195*Worksheet!$E$105,2)+ROUND(AW195*Worksheet!$E$108,2)+ROUND(AU195*Worksheet!$E$106,2)+ROUND(AX195*Worksheet!$E$109,2)+ROUND(AY195*Worksheet!$E$110,2)+ROUND(AZ195*Worksheet!$E$111,2))*Worksheet!$D$114,2))*BaseRate,2)</f>
        <v>125171.08</v>
      </c>
      <c r="CU195" s="121">
        <v>0</v>
      </c>
      <c r="CV195" s="121">
        <v>0</v>
      </c>
      <c r="CW195" s="121">
        <v>0</v>
      </c>
      <c r="CX195" s="121">
        <v>0</v>
      </c>
      <c r="CY195" s="121">
        <v>0</v>
      </c>
      <c r="DA195" s="192">
        <f t="shared" si="156"/>
        <v>0</v>
      </c>
      <c r="DB195" s="192">
        <f>MAX(-CT195,MIN(0,ROUND($R195*EFBPercent+EFBAdd,2)-$Q195),MIN(0,SUM($CS195:CS195)+MIN(0,ROUND($R195*EFBPercent+EFBAdd,2)-$Q195)))</f>
        <v>0</v>
      </c>
      <c r="DC195" s="192">
        <f>IF(CU195&lt;0,0,MAX(-CU195,MIN(0,ROUND($R195*EFBPercent+EFBAdd,2)-$Q195),MIN(0,SUM($CS195:CT195)+MIN(0,ROUND($R195*EFBPercent+EFBAdd,2)-$Q195))))</f>
        <v>0</v>
      </c>
      <c r="DD195" s="192">
        <f>IF(CV195&lt;0,0,MAX(-CV195,MIN(0,ROUND($R195*EFBPercent+EFBAdd,2)-$Q195),MIN(0,SUM($CS195:CU195)+MIN(0,ROUND($R195*EFBPercent+EFBAdd,2)-$Q195))))</f>
        <v>0</v>
      </c>
      <c r="DE195" s="192">
        <f>IF(CW195&lt;0,0,MAX(-CW195,MIN(0,ROUND($R195*EFBPercent+EFBAdd,2)-$Q195),MIN(0,SUM($CS195:CV195)+MIN(0,ROUND($R195*EFBPercent+EFBAdd,2)-$Q195))))</f>
        <v>0</v>
      </c>
      <c r="DF195" s="192">
        <f>IF(CX195&lt;0,0,MAX(-CX195,MIN(0,ROUND($R195*EFBPercent+EFBAdd,2)-$Q195),MIN(0,SUM($CS195:CW195)+MIN(0,ROUND($R195*EFBPercent+EFBAdd,2)-$Q195))))</f>
        <v>0</v>
      </c>
      <c r="DG195" s="192">
        <f>MAX(-CY195,MIN(0,ROUND($R195*EFBPercent+EFBAdd,2)-$Q195),MIN(0,SUM($CS195:CX195)+MIN(0,ROUND($R195*EFBPercent+EFBAdd,2)-$Q195)))</f>
        <v>0</v>
      </c>
      <c r="DI195" s="73">
        <f t="shared" si="157"/>
        <v>2674958.1500000004</v>
      </c>
      <c r="DJ195" s="73">
        <f t="shared" si="158"/>
        <v>125171.08</v>
      </c>
      <c r="DK195" s="73">
        <f t="shared" si="159"/>
        <v>0</v>
      </c>
      <c r="DL195" s="73">
        <f t="shared" si="160"/>
        <v>0</v>
      </c>
      <c r="DM195" s="73">
        <f t="shared" si="161"/>
        <v>0</v>
      </c>
      <c r="DN195" s="73">
        <f t="shared" si="162"/>
        <v>0</v>
      </c>
      <c r="DO195" s="73">
        <f t="shared" si="163"/>
        <v>0</v>
      </c>
      <c r="DP195" s="73"/>
      <c r="DQ195" s="73"/>
    </row>
    <row r="196" spans="1:121" ht="10.199999999999999" x14ac:dyDescent="0.2">
      <c r="A196" s="4" t="s">
        <v>648</v>
      </c>
      <c r="B196" s="72">
        <v>1154</v>
      </c>
      <c r="C196" s="13" t="s">
        <v>170</v>
      </c>
      <c r="D196" s="4">
        <v>2027</v>
      </c>
      <c r="E196" s="4" t="s">
        <v>482</v>
      </c>
      <c r="F196" s="4">
        <v>1</v>
      </c>
      <c r="G196" s="4" t="s">
        <v>684</v>
      </c>
      <c r="H196" s="4">
        <v>100</v>
      </c>
      <c r="I196" s="4" t="s">
        <v>1091</v>
      </c>
      <c r="J196" s="5">
        <v>4280798.34</v>
      </c>
      <c r="K196" s="5">
        <v>443.79</v>
      </c>
      <c r="L196" s="5">
        <v>128.5</v>
      </c>
      <c r="M196" s="5">
        <v>0</v>
      </c>
      <c r="N196" s="5">
        <v>12496502</v>
      </c>
      <c r="O196" s="5">
        <v>0</v>
      </c>
      <c r="P196" s="5">
        <v>121.89999999999999</v>
      </c>
      <c r="Q196" s="5">
        <v>0</v>
      </c>
      <c r="R196" s="5">
        <v>0</v>
      </c>
      <c r="S196" s="5">
        <v>2400</v>
      </c>
      <c r="T196" s="5">
        <v>1499.62</v>
      </c>
      <c r="U196" s="5">
        <v>0</v>
      </c>
      <c r="V196" s="5">
        <v>5764.5499999999993</v>
      </c>
      <c r="W196" s="5">
        <v>2733.84</v>
      </c>
      <c r="X196" s="5">
        <v>7559.79</v>
      </c>
      <c r="Y196" s="5">
        <v>0.78</v>
      </c>
      <c r="Z196" s="5">
        <v>24</v>
      </c>
      <c r="AA196" s="5">
        <v>182</v>
      </c>
      <c r="AB196" s="5">
        <v>72</v>
      </c>
      <c r="AC196" s="5">
        <v>135</v>
      </c>
      <c r="AD196" s="5">
        <v>0</v>
      </c>
      <c r="AE196" s="5">
        <v>0</v>
      </c>
      <c r="AF196" s="5">
        <v>1</v>
      </c>
      <c r="AG196" s="5">
        <v>1</v>
      </c>
      <c r="AH196" s="5">
        <v>0.2</v>
      </c>
      <c r="AI196" s="5">
        <v>0</v>
      </c>
      <c r="AJ196" s="5">
        <v>0</v>
      </c>
      <c r="AK196" s="5">
        <v>0</v>
      </c>
      <c r="AL196" s="5">
        <v>409.12</v>
      </c>
      <c r="AM196" s="5">
        <v>0</v>
      </c>
      <c r="AN196" s="5">
        <v>413</v>
      </c>
      <c r="AO196" s="5">
        <f t="shared" si="141"/>
        <v>0</v>
      </c>
      <c r="AP196" s="5">
        <f t="shared" si="175"/>
        <v>0</v>
      </c>
      <c r="AQ196" s="5">
        <v>1.05</v>
      </c>
      <c r="AR196" s="5">
        <v>0.04</v>
      </c>
      <c r="AS196" s="5">
        <v>0</v>
      </c>
      <c r="AT196" s="5">
        <v>35964</v>
      </c>
      <c r="AU196" s="5">
        <v>0</v>
      </c>
      <c r="AV196" s="5">
        <v>1332</v>
      </c>
      <c r="AW196" s="5">
        <v>128.5</v>
      </c>
      <c r="AX196" s="5">
        <v>1</v>
      </c>
      <c r="AY196" s="199">
        <v>0</v>
      </c>
      <c r="AZ196" s="199">
        <v>0</v>
      </c>
      <c r="BA196" s="5">
        <v>173260.84</v>
      </c>
      <c r="BB196" s="13">
        <v>717712.2</v>
      </c>
      <c r="BC196" s="101">
        <f>MAX(ROUND(IF(F196&lt;4,IF(H196=0,(SUM(Y196:AD196)*Worksheet!$E$26+Y196*Worksheet!$E$27+AR196*Worksheet!$E$39)*-BaseRate,0)),2),MIN(0,-DI196))</f>
        <v>0</v>
      </c>
      <c r="BD196" s="101">
        <f>MAX(ROUND(IF(F196=4,0,IF(I196=0,0,ROUND(SUM(Y196:AD196)*Worksheet!$E$28,2)*-BaseRate)),2),MIN(0,-DI196-BC196))</f>
        <v>-9655.39</v>
      </c>
      <c r="BE196" s="130">
        <f t="shared" si="134"/>
        <v>0</v>
      </c>
      <c r="BF196" s="130">
        <f t="shared" si="135"/>
        <v>1403</v>
      </c>
      <c r="BG196" s="73"/>
      <c r="BH196" s="118">
        <f t="shared" si="136"/>
        <v>26971.64</v>
      </c>
      <c r="BI196" s="118">
        <f t="shared" si="137"/>
        <v>9646</v>
      </c>
      <c r="BJ196" s="232">
        <f>IFERROR(ROUND(IF(AND(BB196*1.12&lt;N196*60/1000,N196/CL196&lt;STVPP*0.2),(CL196*STVPP*0.2*Worksheet!$F$88/1000-BB196*1.12)*PropTaxAdj,IF(BB196*1.12&lt;N196*60/1000,(N196*60/1000-BB196*1.12)*PropTaxAdj,0)),2),0)</f>
        <v>0</v>
      </c>
      <c r="BK196" s="116">
        <f>ROUND(IF($F196=4,0,Y196*Worksheet!$E$16),2)</f>
        <v>0.78</v>
      </c>
      <c r="BL196" s="116">
        <f>ROUND(IF($F196=4,0,Z196*Worksheet!$E$17),2)</f>
        <v>24</v>
      </c>
      <c r="BM196" s="116">
        <f>ROUND(IF($F196=4,0,AA196*Worksheet!$E$18),2)</f>
        <v>182</v>
      </c>
      <c r="BN196" s="116">
        <f>ROUND(IF($F196=4,0,AB196*Worksheet!$E$19),2)</f>
        <v>72</v>
      </c>
      <c r="BO196" s="116">
        <f>ROUND(IF($F196=4,0,AC196*Worksheet!$E$20),2)</f>
        <v>135</v>
      </c>
      <c r="BP196" s="116">
        <f>ROUND(AD196*Worksheet!$E$21,2)</f>
        <v>0</v>
      </c>
      <c r="BQ196" s="116">
        <f t="shared" si="153"/>
        <v>413.78</v>
      </c>
      <c r="BR196" s="116">
        <f>ROUND(AD196*Worksheet!$E$25,2)</f>
        <v>0</v>
      </c>
      <c r="BS196" s="116">
        <f>ROUND(SUM(BQ196)*Worksheet!$E$26,2)</f>
        <v>36.409999999999997</v>
      </c>
      <c r="BT196" s="116">
        <f>ROUND(Y196*Worksheet!$E$27,2)</f>
        <v>0.13</v>
      </c>
      <c r="BU196" s="116">
        <f>ROUND(AO196*Worksheet!$E$29,2)</f>
        <v>0</v>
      </c>
      <c r="BV196" s="116">
        <f>ROUND(AP196*Worksheet!$E$30,2)</f>
        <v>0</v>
      </c>
      <c r="BW196" s="116">
        <f>ROUND(IF($I196&lt;&gt;0,$BQ196*Worksheet!$E$28,0),2)</f>
        <v>0.83</v>
      </c>
      <c r="BX196" s="116">
        <f>ROUND(AE196*Worksheet!$E$31,2)</f>
        <v>0</v>
      </c>
      <c r="BY196" s="116">
        <f>ROUND(AF196*Worksheet!$E$32,2)</f>
        <v>0.28000000000000003</v>
      </c>
      <c r="BZ196" s="116">
        <f>ROUND(AG196*Worksheet!$E$33,2)</f>
        <v>7.0000000000000007E-2</v>
      </c>
      <c r="CA196" s="116">
        <f>ROUND(ROUND(AH196*BQ196,2)*Worksheet!$E$34,2)</f>
        <v>2.0699999999999998</v>
      </c>
      <c r="CB196" s="116">
        <f>ROUND(AI196*Worksheet!$E$35,2)</f>
        <v>0</v>
      </c>
      <c r="CC196" s="116">
        <f>ROUND(AJ196*Worksheet!$E$36,2)</f>
        <v>0</v>
      </c>
      <c r="CD196" s="116">
        <f>ROUND(AQ196*Worksheet!$E$38,2)</f>
        <v>0.63</v>
      </c>
      <c r="CE196" s="116">
        <f>ROUND(AR196*Worksheet!$E$39,2)</f>
        <v>0.04</v>
      </c>
      <c r="CF196" s="116">
        <f>IF(AND(L196&gt;275,SUM(Y196:AD196)&lt;100),ROUND(SUM(Y196:AD196)*Worksheet!$E$41,2),0)</f>
        <v>0</v>
      </c>
      <c r="CG196" s="116">
        <f>IF(AND(L196&gt;600,SUM(Y196:AD196)&lt;50),ROUND((50-SUM(Y196:AD196))*(Worksheet!$E$41+1),2),0)</f>
        <v>0</v>
      </c>
      <c r="CH196" s="116">
        <f t="shared" si="154"/>
        <v>454.2399999999999</v>
      </c>
      <c r="CI196" s="116">
        <f t="shared" ref="CI196:CI210" si="178">AK196</f>
        <v>0</v>
      </c>
      <c r="CJ196" s="116">
        <f t="shared" ref="CJ196:CJ210" si="179">CH196-CI196</f>
        <v>454.2399999999999</v>
      </c>
      <c r="CK196" s="95">
        <f t="shared" si="138"/>
        <v>1.02</v>
      </c>
      <c r="CL196" s="116">
        <f t="shared" ref="CL196:CL210" si="180">ROUND(+CK196*CJ196,2)</f>
        <v>463.32</v>
      </c>
      <c r="CM196" s="116">
        <f t="shared" ref="CM196:CM210" si="181">CL196+CI196</f>
        <v>463.32</v>
      </c>
      <c r="CN196" s="116">
        <f t="shared" si="176"/>
        <v>5389801.5599999996</v>
      </c>
      <c r="CO196" s="131">
        <f>ROUND(IF(F196=4,0,(MAX(ROUND(MAX((BI196*MIN(CL196,K196)*Worksheet!$D$126)+MAX(CL196-K196,0)*Worksheet!$F$50,SUM(J196)),2),SUM(CN196))-SUM(CN196))*MinAdj),2)</f>
        <v>0</v>
      </c>
      <c r="CP196" s="116">
        <f t="shared" si="177"/>
        <v>5389801.5599999996</v>
      </c>
      <c r="CQ196" s="131">
        <f>IF(CL196=0,0,-MIN(CP196,MIN(CP196,ROUND(IF(ROUND(IF(CL196=0,0,N196/CL196),2)&lt;STVPP*0.2,STVPP*0.2*CL196*Worksheet!$F$88/1000,N196*Worksheet!$F$88/1000),2))))</f>
        <v>-749790.12</v>
      </c>
      <c r="CR196" s="131">
        <f>-MIN(SUM(CP196,CQ196),IF($P196=0,(ROUND(Worksheet!$E$77*S196,2)+ROUND(Worksheet!$E$78*T196,2)+ROUND(Worksheet!$E$79*U196,2)+ROUND(Worksheet!$E$80*V196,2)+ROUND(Worksheet!$E$81*W196,2)+ROUND(Worksheet!$E$82*X196,2)),(ROUND(ROUND(S196*ROUND((1-$O196/$P196),4),2)*Worksheet!$E$77,2)+ROUND(ROUND(T196*ROUND((1-$O196/$P196),4),2)*Worksheet!$E$78,2)+ROUND(ROUND(U196*ROUND((1-$O196/$P196),4),2)*Worksheet!$E$79,2)+ROUND(ROUND(V196*ROUND((1-$O196/$P196),4),2)*Worksheet!$E$80,2)+ROUND(ROUND(W196*ROUND((1-$O196/$P196),4),2)*Worksheet!$E$81,2)+ROUND(ROUND(X196*ROUND((1-$O196/$P196),4),2)*Worksheet!$E$82,2))))</f>
        <v>-14968.35</v>
      </c>
      <c r="CS196" s="116">
        <f t="shared" si="155"/>
        <v>4625043.09</v>
      </c>
      <c r="CT196" s="116">
        <f>ROUND(MIN(BA196,ROUND((ROUND(AS196*Worksheet!$E$104,2)+ROUND(AV196*Worksheet!$E$107,2)+ROUND(AT196*Worksheet!$E$105,2)+ROUND(AW196*Worksheet!$E$108,2)+ROUND(AU196*Worksheet!$E$106,2)+ROUND(AX196*Worksheet!$E$109,2)+ROUND(AY196*Worksheet!$E$110,2)+ROUND(AZ196*Worksheet!$E$111,2))*Worksheet!$D$114,2))*BaseRate,2)</f>
        <v>59677.29</v>
      </c>
      <c r="CU196" s="121">
        <v>0</v>
      </c>
      <c r="CV196" s="121">
        <v>0</v>
      </c>
      <c r="CW196" s="121">
        <v>0</v>
      </c>
      <c r="CX196" s="121">
        <v>0</v>
      </c>
      <c r="CY196" s="121">
        <v>0</v>
      </c>
      <c r="DA196" s="116">
        <f t="shared" si="156"/>
        <v>0</v>
      </c>
      <c r="DB196" s="116">
        <f>MAX(-CT196,MIN(0,ROUND($R196*EFBPercent+EFBAdd,2)-$Q196),MIN(0,SUM($CS196:CS196)+MIN(0,ROUND($R196*EFBPercent+EFBAdd,2)-$Q196)))</f>
        <v>0</v>
      </c>
      <c r="DC196" s="192">
        <f>IF(CU196&lt;0,0,MAX(-CU196,MIN(0,ROUND($R196*EFBPercent+EFBAdd,2)-$Q196),MIN(0,SUM($CS196:CT196)+MIN(0,ROUND($R196*EFBPercent+EFBAdd,2)-$Q196))))</f>
        <v>0</v>
      </c>
      <c r="DD196" s="192">
        <f>IF(CV196&lt;0,0,MAX(-CV196,MIN(0,ROUND($R196*EFBPercent+EFBAdd,2)-$Q196),MIN(0,SUM($CS196:CU196)+MIN(0,ROUND($R196*EFBPercent+EFBAdd,2)-$Q196))))</f>
        <v>0</v>
      </c>
      <c r="DE196" s="192">
        <f>IF(CW196&lt;0,0,MAX(-CW196,MIN(0,ROUND($R196*EFBPercent+EFBAdd,2)-$Q196),MIN(0,SUM($CS196:CV196)+MIN(0,ROUND($R196*EFBPercent+EFBAdd,2)-$Q196))))</f>
        <v>0</v>
      </c>
      <c r="DF196" s="192">
        <f>IF(CX196&lt;0,0,MAX(-CX196,MIN(0,ROUND($R196*EFBPercent+EFBAdd,2)-$Q196),MIN(0,SUM($CS196:CW196)+MIN(0,ROUND($R196*EFBPercent+EFBAdd,2)-$Q196))))</f>
        <v>0</v>
      </c>
      <c r="DG196" s="116">
        <f>MAX(-CY196,MIN(0,ROUND($R196*EFBPercent+EFBAdd,2)-$Q196),MIN(0,SUM($CS196:CX196)+MIN(0,ROUND($R196*EFBPercent+EFBAdd,2)-$Q196)))</f>
        <v>0</v>
      </c>
      <c r="DI196" s="73">
        <f t="shared" si="157"/>
        <v>4625043.09</v>
      </c>
      <c r="DJ196" s="73">
        <f t="shared" si="158"/>
        <v>59677.29</v>
      </c>
      <c r="DK196" s="73">
        <f t="shared" si="159"/>
        <v>0</v>
      </c>
      <c r="DL196" s="73">
        <f t="shared" si="160"/>
        <v>0</v>
      </c>
      <c r="DM196" s="73">
        <f t="shared" si="161"/>
        <v>0</v>
      </c>
      <c r="DN196" s="73">
        <f t="shared" si="162"/>
        <v>0</v>
      </c>
      <c r="DO196" s="73">
        <f t="shared" si="163"/>
        <v>0</v>
      </c>
      <c r="DP196" s="73"/>
      <c r="DQ196" s="73"/>
    </row>
    <row r="197" spans="1:121" ht="10.199999999999999" x14ac:dyDescent="0.2">
      <c r="A197" s="4" t="s">
        <v>649</v>
      </c>
      <c r="B197" s="72">
        <v>1147</v>
      </c>
      <c r="C197" s="13" t="s">
        <v>171</v>
      </c>
      <c r="D197" s="4">
        <v>2027</v>
      </c>
      <c r="E197" s="4" t="s">
        <v>921</v>
      </c>
      <c r="F197" s="4">
        <v>1</v>
      </c>
      <c r="G197" s="4" t="s">
        <v>684</v>
      </c>
      <c r="H197" s="4">
        <v>100</v>
      </c>
      <c r="I197" s="4" t="s">
        <v>1091</v>
      </c>
      <c r="J197" s="5">
        <v>4490020.08</v>
      </c>
      <c r="K197" s="5">
        <v>465.48</v>
      </c>
      <c r="L197" s="5">
        <v>173.66</v>
      </c>
      <c r="M197" s="5">
        <v>0</v>
      </c>
      <c r="N197" s="5">
        <v>16263003</v>
      </c>
      <c r="O197" s="5">
        <v>70.08</v>
      </c>
      <c r="P197" s="5">
        <v>143.32</v>
      </c>
      <c r="Q197" s="5">
        <v>0</v>
      </c>
      <c r="R197" s="5">
        <v>0</v>
      </c>
      <c r="S197" s="5">
        <v>0</v>
      </c>
      <c r="T197" s="5">
        <v>1896.1599999999999</v>
      </c>
      <c r="U197" s="5">
        <v>0</v>
      </c>
      <c r="V197" s="5">
        <v>146591.97</v>
      </c>
      <c r="W197" s="5">
        <v>41938.120000000003</v>
      </c>
      <c r="X197" s="5">
        <v>9189.11</v>
      </c>
      <c r="Y197" s="5">
        <v>6.82</v>
      </c>
      <c r="Z197" s="5">
        <v>33</v>
      </c>
      <c r="AA197" s="5">
        <v>261</v>
      </c>
      <c r="AB197" s="5">
        <v>105</v>
      </c>
      <c r="AC197" s="5">
        <v>153</v>
      </c>
      <c r="AD197" s="5">
        <v>0</v>
      </c>
      <c r="AE197" s="5">
        <v>2</v>
      </c>
      <c r="AF197" s="5">
        <v>3</v>
      </c>
      <c r="AG197" s="5">
        <v>3.84</v>
      </c>
      <c r="AH197" s="5">
        <v>0.23300000000000001</v>
      </c>
      <c r="AI197" s="5">
        <v>12.86</v>
      </c>
      <c r="AJ197" s="5">
        <v>0</v>
      </c>
      <c r="AK197" s="5">
        <v>0</v>
      </c>
      <c r="AL197" s="5">
        <v>545.54</v>
      </c>
      <c r="AM197" s="5">
        <v>6.1300000000001091</v>
      </c>
      <c r="AN197" s="5">
        <v>552</v>
      </c>
      <c r="AO197" s="5">
        <f t="shared" si="141"/>
        <v>0</v>
      </c>
      <c r="AP197" s="5">
        <f t="shared" si="175"/>
        <v>0</v>
      </c>
      <c r="AQ197" s="5">
        <v>2.81</v>
      </c>
      <c r="AR197" s="5">
        <v>0.55000000000000004</v>
      </c>
      <c r="AS197" s="5">
        <v>0</v>
      </c>
      <c r="AT197" s="5">
        <v>177800</v>
      </c>
      <c r="AU197" s="5">
        <v>0</v>
      </c>
      <c r="AV197" s="5">
        <v>2450</v>
      </c>
      <c r="AW197" s="199">
        <v>173.66</v>
      </c>
      <c r="AX197" s="199">
        <v>1</v>
      </c>
      <c r="AY197" s="199">
        <v>0</v>
      </c>
      <c r="AZ197" s="199">
        <v>0</v>
      </c>
      <c r="BA197" s="5">
        <v>472637.7</v>
      </c>
      <c r="BB197" s="13">
        <v>908348.52</v>
      </c>
      <c r="BC197" s="101">
        <f>MAX(ROUND(IF(F197&lt;4,IF(H197=0,(SUM(Y197:AD197)*Worksheet!$E$26+Y197*Worksheet!$E$27+AR197*Worksheet!$E$39)*-BaseRate,0)),2),MIN(0,-DI197))</f>
        <v>0</v>
      </c>
      <c r="BD197" s="101">
        <f>MAX(ROUND(IF(F197=4,0,IF(I197=0,0,ROUND(SUM(Y197:AD197)*Worksheet!$E$28,2)*-BaseRate)),2),MIN(0,-DI197-BC197))</f>
        <v>-13028.96</v>
      </c>
      <c r="BE197" s="130">
        <f t="shared" ref="BE197:BE210" si="182">IF($BC197=0,0,VLOOKUP($G197,$A$5:$B$210,2,FALSE))</f>
        <v>0</v>
      </c>
      <c r="BF197" s="130">
        <f t="shared" ref="BF197:BF210" si="183">IF($BD197=0,0,VLOOKUP($I197,$A$5:$B$210,2,FALSE))</f>
        <v>1403</v>
      </c>
      <c r="BG197" s="73"/>
      <c r="BH197" s="118">
        <f t="shared" ref="BH197:BH210" si="184">ROUND(IF(CL197=0,0,IF(N197/CL197&lt;0.2*STVPP,STVPP*0.2,N197/CL197)),2)</f>
        <v>25705.35</v>
      </c>
      <c r="BI197" s="118">
        <f t="shared" ref="BI197:BI210" si="185">IF(K197=0,0,ROUND(J197/K197,2))</f>
        <v>9646</v>
      </c>
      <c r="BJ197" s="232">
        <f>IFERROR(ROUND(IF(AND(BB197*1.12&lt;N197*60/1000,N197/CL197&lt;STVPP*0.2),(CL197*STVPP*0.2*Worksheet!$F$88/1000-BB197*1.12)*PropTaxAdj,IF(BB197*1.12&lt;N197*60/1000,(N197*60/1000-BB197*1.12)*PropTaxAdj,0)),2),0)</f>
        <v>0</v>
      </c>
      <c r="BK197" s="116">
        <f>ROUND(IF($F197=4,0,Y197*Worksheet!$E$16),2)</f>
        <v>6.82</v>
      </c>
      <c r="BL197" s="116">
        <f>ROUND(IF($F197=4,0,Z197*Worksheet!$E$17),2)</f>
        <v>33</v>
      </c>
      <c r="BM197" s="116">
        <f>ROUND(IF($F197=4,0,AA197*Worksheet!$E$18),2)</f>
        <v>261</v>
      </c>
      <c r="BN197" s="116">
        <f>ROUND(IF($F197=4,0,AB197*Worksheet!$E$19),2)</f>
        <v>105</v>
      </c>
      <c r="BO197" s="116">
        <f>ROUND(IF($F197=4,0,AC197*Worksheet!$E$20),2)</f>
        <v>153</v>
      </c>
      <c r="BP197" s="116">
        <f>ROUND(AD197*Worksheet!$E$21,2)</f>
        <v>0</v>
      </c>
      <c r="BQ197" s="116">
        <f t="shared" si="153"/>
        <v>558.81999999999994</v>
      </c>
      <c r="BR197" s="116">
        <f>ROUND(AD197*Worksheet!$E$25,2)</f>
        <v>0</v>
      </c>
      <c r="BS197" s="116">
        <f>ROUND(SUM(BQ197)*Worksheet!$E$26,2)</f>
        <v>49.18</v>
      </c>
      <c r="BT197" s="116">
        <f>ROUND(Y197*Worksheet!$E$27,2)</f>
        <v>1.1599999999999999</v>
      </c>
      <c r="BU197" s="116">
        <f>ROUND(AO197*Worksheet!$E$29,2)</f>
        <v>0</v>
      </c>
      <c r="BV197" s="116">
        <f>ROUND(AP197*Worksheet!$E$30,2)</f>
        <v>0</v>
      </c>
      <c r="BW197" s="116">
        <f>ROUND(IF($I197&lt;&gt;0,$BQ197*Worksheet!$E$28,0),2)</f>
        <v>1.1200000000000001</v>
      </c>
      <c r="BX197" s="116">
        <f>ROUND(AE197*Worksheet!$E$31,2)</f>
        <v>0.8</v>
      </c>
      <c r="BY197" s="116">
        <f>ROUND(AF197*Worksheet!$E$32,2)</f>
        <v>0.84</v>
      </c>
      <c r="BZ197" s="116">
        <f>ROUND(AG197*Worksheet!$E$33,2)</f>
        <v>0.27</v>
      </c>
      <c r="CA197" s="116">
        <f>ROUND(ROUND(AH197*BQ197,2)*Worksheet!$E$34,2)</f>
        <v>3.26</v>
      </c>
      <c r="CB197" s="116">
        <f>ROUND(AI197*Worksheet!$E$35,2)</f>
        <v>2.57</v>
      </c>
      <c r="CC197" s="116">
        <f>ROUND(AJ197*Worksheet!$E$36,2)</f>
        <v>0</v>
      </c>
      <c r="CD197" s="116">
        <f>ROUND(AQ197*Worksheet!$E$38,2)</f>
        <v>1.69</v>
      </c>
      <c r="CE197" s="116">
        <f>ROUND(AR197*Worksheet!$E$39,2)</f>
        <v>0.55000000000000004</v>
      </c>
      <c r="CF197" s="116">
        <f>IF(AND(L197&gt;275,SUM(Y197:AD197)&lt;100),ROUND(SUM(Y197:AD197)*Worksheet!$E$41,2),0)</f>
        <v>0</v>
      </c>
      <c r="CG197" s="116">
        <f>IF(AND(L197&gt;600,SUM(Y197:AD197)&lt;50),ROUND((50-SUM(Y197:AD197))*(Worksheet!$E$41+1),2),0)</f>
        <v>0</v>
      </c>
      <c r="CH197" s="116">
        <f t="shared" si="154"/>
        <v>620.25999999999988</v>
      </c>
      <c r="CI197" s="116">
        <f t="shared" si="178"/>
        <v>0</v>
      </c>
      <c r="CJ197" s="116">
        <f t="shared" si="179"/>
        <v>620.25999999999988</v>
      </c>
      <c r="CK197" s="95">
        <f t="shared" ref="CK197:CK210" si="186">ROUND(IF(BQ197=0,0,IF(M197=0,IF(F197=1,MAX(VLOOKUP(BQ197,FactorTable,4,TRUE),VLOOKUP(BQ197,FactorTable,5,TRUE)/BQ197),MAX(VLOOKUP(ROUND(BQ197/0.6,2),FactorTable,4,TRUE),VLOOKUP(ROUND(BQ197/0.6,2),FactorTable,5,TRUE)/(ROUND(BQ197/0.6,2)))),VLOOKUP(A197,FactorTableR,5,FALSE))),4)</f>
        <v>1.02</v>
      </c>
      <c r="CL197" s="116">
        <f t="shared" si="180"/>
        <v>632.66999999999996</v>
      </c>
      <c r="CM197" s="116">
        <f t="shared" si="181"/>
        <v>632.66999999999996</v>
      </c>
      <c r="CN197" s="116">
        <f t="shared" si="176"/>
        <v>7359850.1100000003</v>
      </c>
      <c r="CO197" s="131">
        <f>ROUND(IF(F197=4,0,(MAX(ROUND(MAX((BI197*MIN(CL197,K197)*Worksheet!$D$126)+MAX(CL197-K197,0)*Worksheet!$F$50,SUM(J197)),2),SUM(CN197))-SUM(CN197))*MinAdj),2)</f>
        <v>0</v>
      </c>
      <c r="CP197" s="116">
        <f t="shared" si="177"/>
        <v>7359850.1100000003</v>
      </c>
      <c r="CQ197" s="131">
        <f>IF(CL197=0,0,-MIN(CP197,MIN(CP197,ROUND(IF(ROUND(IF(CL197=0,0,N197/CL197),2)&lt;STVPP*0.2,STVPP*0.2*CL197*Worksheet!$F$88/1000,N197*Worksheet!$F$88/1000),2))))</f>
        <v>-975780.18</v>
      </c>
      <c r="CR197" s="131">
        <f>-MIN(SUM(CP197,CQ197),IF($P197=0,(ROUND(Worksheet!$E$77*S197,2)+ROUND(Worksheet!$E$78*T197,2)+ROUND(Worksheet!$E$79*U197,2)+ROUND(Worksheet!$E$80*V197,2)+ROUND(Worksheet!$E$81*W197,2)+ROUND(Worksheet!$E$82*X197,2)),(ROUND(ROUND(S197*ROUND((1-$O197/$P197),4),2)*Worksheet!$E$77,2)+ROUND(ROUND(T197*ROUND((1-$O197/$P197),4),2)*Worksheet!$E$78,2)+ROUND(ROUND(U197*ROUND((1-$O197/$P197),4),2)*Worksheet!$E$79,2)+ROUND(ROUND(V197*ROUND((1-$O197/$P197),4),2)*Worksheet!$E$80,2)+ROUND(ROUND(W197*ROUND((1-$O197/$P197),4),2)*Worksheet!$E$81,2)+ROUND(ROUND(X197*ROUND((1-$O197/$P197),4),2)*Worksheet!$E$82,2))))</f>
        <v>-76502.61</v>
      </c>
      <c r="CS197" s="116">
        <f t="shared" si="155"/>
        <v>6307567.3200000003</v>
      </c>
      <c r="CT197" s="116">
        <f>ROUND(MIN(BA197,ROUND((ROUND(AS197*Worksheet!$E$104,2)+ROUND(AV197*Worksheet!$E$107,2)+ROUND(AT197*Worksheet!$E$105,2)+ROUND(AW197*Worksheet!$E$108,2)+ROUND(AU197*Worksheet!$E$106,2)+ROUND(AX197*Worksheet!$E$109,2)+ROUND(AY197*Worksheet!$E$110,2)+ROUND(AZ197*Worksheet!$E$111,2))*Worksheet!$D$114,2))*BaseRate,2)</f>
        <v>237313.2</v>
      </c>
      <c r="CU197" s="121">
        <v>0</v>
      </c>
      <c r="CV197" s="121">
        <v>0</v>
      </c>
      <c r="CW197" s="121">
        <v>0</v>
      </c>
      <c r="CX197" s="121">
        <v>0</v>
      </c>
      <c r="CY197" s="121">
        <v>0</v>
      </c>
      <c r="DA197" s="116">
        <f t="shared" si="156"/>
        <v>0</v>
      </c>
      <c r="DB197" s="116">
        <f>MAX(-CT197,MIN(0,ROUND($R197*EFBPercent+EFBAdd,2)-$Q197),MIN(0,SUM($CS197:CS197)+MIN(0,ROUND($R197*EFBPercent+EFBAdd,2)-$Q197)))</f>
        <v>0</v>
      </c>
      <c r="DC197" s="192">
        <f>IF(CU197&lt;0,0,MAX(-CU197,MIN(0,ROUND($R197*EFBPercent+EFBAdd,2)-$Q197),MIN(0,SUM($CS197:CT197)+MIN(0,ROUND($R197*EFBPercent+EFBAdd,2)-$Q197))))</f>
        <v>0</v>
      </c>
      <c r="DD197" s="192">
        <f>IF(CV197&lt;0,0,MAX(-CV197,MIN(0,ROUND($R197*EFBPercent+EFBAdd,2)-$Q197),MIN(0,SUM($CS197:CU197)+MIN(0,ROUND($R197*EFBPercent+EFBAdd,2)-$Q197))))</f>
        <v>0</v>
      </c>
      <c r="DE197" s="192">
        <f>IF(CW197&lt;0,0,MAX(-CW197,MIN(0,ROUND($R197*EFBPercent+EFBAdd,2)-$Q197),MIN(0,SUM($CS197:CV197)+MIN(0,ROUND($R197*EFBPercent+EFBAdd,2)-$Q197))))</f>
        <v>0</v>
      </c>
      <c r="DF197" s="192">
        <f>IF(CX197&lt;0,0,MAX(-CX197,MIN(0,ROUND($R197*EFBPercent+EFBAdd,2)-$Q197),MIN(0,SUM($CS197:CW197)+MIN(0,ROUND($R197*EFBPercent+EFBAdd,2)-$Q197))))</f>
        <v>0</v>
      </c>
      <c r="DG197" s="116">
        <f>MAX(-CY197,MIN(0,ROUND($R197*EFBPercent+EFBAdd,2)-$Q197),MIN(0,SUM($CS197:CX197)+MIN(0,ROUND($R197*EFBPercent+EFBAdd,2)-$Q197)))</f>
        <v>0</v>
      </c>
      <c r="DI197" s="73">
        <f t="shared" si="157"/>
        <v>6307567.3200000003</v>
      </c>
      <c r="DJ197" s="73">
        <f t="shared" si="158"/>
        <v>237313.2</v>
      </c>
      <c r="DK197" s="73">
        <f t="shared" si="159"/>
        <v>0</v>
      </c>
      <c r="DL197" s="73">
        <f t="shared" si="160"/>
        <v>0</v>
      </c>
      <c r="DM197" s="73">
        <f t="shared" si="161"/>
        <v>0</v>
      </c>
      <c r="DN197" s="73">
        <f t="shared" si="162"/>
        <v>0</v>
      </c>
      <c r="DO197" s="73">
        <f t="shared" si="163"/>
        <v>0</v>
      </c>
      <c r="DP197" s="73"/>
      <c r="DQ197" s="73"/>
    </row>
    <row r="198" spans="1:121" ht="10.199999999999999" x14ac:dyDescent="0.2">
      <c r="A198" s="4" t="s">
        <v>650</v>
      </c>
      <c r="B198" s="72" t="s">
        <v>1086</v>
      </c>
      <c r="C198" s="13" t="s">
        <v>494</v>
      </c>
      <c r="D198" s="4">
        <v>2027</v>
      </c>
      <c r="E198" s="4" t="s">
        <v>493</v>
      </c>
      <c r="F198" s="4">
        <v>4</v>
      </c>
      <c r="G198" s="4" t="s">
        <v>684</v>
      </c>
      <c r="H198" s="4">
        <v>100</v>
      </c>
      <c r="I198" s="4" t="s">
        <v>1091</v>
      </c>
      <c r="J198" s="5">
        <v>0</v>
      </c>
      <c r="K198" s="5">
        <v>0</v>
      </c>
      <c r="L198" s="5">
        <v>7</v>
      </c>
      <c r="M198" s="5">
        <v>0</v>
      </c>
      <c r="N198" s="5">
        <v>0</v>
      </c>
      <c r="O198" s="5">
        <v>0</v>
      </c>
      <c r="P198" s="5">
        <v>0</v>
      </c>
      <c r="Q198" s="5">
        <v>0</v>
      </c>
      <c r="R198" s="5">
        <v>0</v>
      </c>
      <c r="S198" s="5">
        <v>0</v>
      </c>
      <c r="T198" s="5">
        <v>0</v>
      </c>
      <c r="U198" s="5">
        <v>0</v>
      </c>
      <c r="V198" s="5">
        <v>0</v>
      </c>
      <c r="W198" s="5">
        <v>0</v>
      </c>
      <c r="X198" s="5">
        <v>0</v>
      </c>
      <c r="Y198" s="5">
        <v>0</v>
      </c>
      <c r="Z198" s="5">
        <v>0</v>
      </c>
      <c r="AA198" s="5">
        <v>0</v>
      </c>
      <c r="AB198" s="5">
        <v>0</v>
      </c>
      <c r="AC198" s="5">
        <v>0</v>
      </c>
      <c r="AD198" s="5">
        <v>0</v>
      </c>
      <c r="AE198" s="5">
        <v>0</v>
      </c>
      <c r="AF198" s="5">
        <v>0</v>
      </c>
      <c r="AG198" s="5">
        <v>0</v>
      </c>
      <c r="AH198" s="5">
        <v>0</v>
      </c>
      <c r="AI198" s="5">
        <v>0</v>
      </c>
      <c r="AJ198" s="5">
        <v>0</v>
      </c>
      <c r="AK198" s="5">
        <v>0</v>
      </c>
      <c r="AL198" s="5">
        <v>0</v>
      </c>
      <c r="AM198" s="5">
        <v>0</v>
      </c>
      <c r="AN198" s="5">
        <v>0</v>
      </c>
      <c r="AO198" s="5">
        <f t="shared" ref="AO198:AO210" si="187">MAX(AL198-SUM(Z198:AD198),0)</f>
        <v>0</v>
      </c>
      <c r="AP198" s="5">
        <f t="shared" si="175"/>
        <v>0</v>
      </c>
      <c r="AQ198" s="5">
        <v>0</v>
      </c>
      <c r="AR198" s="5">
        <v>0</v>
      </c>
      <c r="AS198" s="5">
        <v>0</v>
      </c>
      <c r="AT198" s="5">
        <v>0</v>
      </c>
      <c r="AU198" s="5">
        <v>0</v>
      </c>
      <c r="AV198" s="5">
        <v>0</v>
      </c>
      <c r="AW198" s="199">
        <v>7</v>
      </c>
      <c r="AX198" s="199">
        <v>0</v>
      </c>
      <c r="AY198" s="199">
        <v>0</v>
      </c>
      <c r="AZ198" s="199">
        <v>0</v>
      </c>
      <c r="BA198" s="5">
        <v>0</v>
      </c>
      <c r="BB198" s="13">
        <v>0</v>
      </c>
      <c r="BC198" s="101">
        <f>MAX(ROUND(IF(F198&lt;4,IF(H198=0,(SUM(Y198:AD198)*Worksheet!$E$26+Y198*Worksheet!$E$27+AR198*Worksheet!$E$39)*-BaseRate,0)),2),MIN(0,-DI198))</f>
        <v>0</v>
      </c>
      <c r="BD198" s="101">
        <f>MAX(ROUND(IF(F198=4,0,IF(I198=0,0,ROUND(SUM(Y198:AD198)*Worksheet!$E$28,2)*-BaseRate)),2),MIN(0,-DI198-BC198))</f>
        <v>0</v>
      </c>
      <c r="BE198" s="130">
        <f t="shared" si="182"/>
        <v>0</v>
      </c>
      <c r="BF198" s="130">
        <f t="shared" si="183"/>
        <v>0</v>
      </c>
      <c r="BG198" s="73"/>
      <c r="BH198" s="118">
        <f t="shared" si="184"/>
        <v>0</v>
      </c>
      <c r="BI198" s="118">
        <f t="shared" si="185"/>
        <v>0</v>
      </c>
      <c r="BJ198" s="232">
        <f>IFERROR(ROUND(IF(AND(BB198*1.12&lt;N198*60/1000,N198/CL198&lt;STVPP*0.2),(CL198*STVPP*0.2*Worksheet!$F$88/1000-BB198*1.12)*PropTaxAdj,IF(BB198*1.12&lt;N198*60/1000,(N198*60/1000-BB198*1.12)*PropTaxAdj,0)),2),0)</f>
        <v>0</v>
      </c>
      <c r="BK198" s="116">
        <f>ROUND(IF($F198=4,0,Y198*Worksheet!$E$16),2)</f>
        <v>0</v>
      </c>
      <c r="BL198" s="116">
        <f>ROUND(IF($F198=4,0,Z198*Worksheet!$E$17),2)</f>
        <v>0</v>
      </c>
      <c r="BM198" s="116">
        <f>ROUND(IF($F198=4,0,AA198*Worksheet!$E$18),2)</f>
        <v>0</v>
      </c>
      <c r="BN198" s="116">
        <f>ROUND(IF($F198=4,0,AB198*Worksheet!$E$19),2)</f>
        <v>0</v>
      </c>
      <c r="BO198" s="116">
        <f>ROUND(IF($F198=4,0,AC198*Worksheet!$E$20),2)</f>
        <v>0</v>
      </c>
      <c r="BP198" s="116">
        <f>ROUND(AD198*Worksheet!$E$21,2)</f>
        <v>0</v>
      </c>
      <c r="BQ198" s="116">
        <f t="shared" si="153"/>
        <v>0</v>
      </c>
      <c r="BR198" s="116">
        <f>ROUND(AD198*Worksheet!$E$25,2)</f>
        <v>0</v>
      </c>
      <c r="BS198" s="116">
        <f>ROUND(SUM(BQ198)*Worksheet!$E$26,2)</f>
        <v>0</v>
      </c>
      <c r="BT198" s="116">
        <f>ROUND(Y198*Worksheet!$E$27,2)</f>
        <v>0</v>
      </c>
      <c r="BU198" s="116">
        <f>ROUND(AO198*Worksheet!$E$29,2)</f>
        <v>0</v>
      </c>
      <c r="BV198" s="116">
        <f>ROUND(AP198*Worksheet!$E$30,2)</f>
        <v>0</v>
      </c>
      <c r="BW198" s="116">
        <f>ROUND(IF($I198&lt;&gt;0,$BQ198*Worksheet!$E$28,0),2)</f>
        <v>0</v>
      </c>
      <c r="BX198" s="116">
        <f>ROUND(AE198*Worksheet!$E$31,2)</f>
        <v>0</v>
      </c>
      <c r="BY198" s="116">
        <f>ROUND(AF198*Worksheet!$E$32,2)</f>
        <v>0</v>
      </c>
      <c r="BZ198" s="116">
        <f>ROUND(AG198*Worksheet!$E$33,2)</f>
        <v>0</v>
      </c>
      <c r="CA198" s="116">
        <f>ROUND(ROUND(AH198*BQ198,2)*Worksheet!$E$34,2)</f>
        <v>0</v>
      </c>
      <c r="CB198" s="116">
        <f>ROUND(AI198*Worksheet!$E$35,2)</f>
        <v>0</v>
      </c>
      <c r="CC198" s="116">
        <f>ROUND(AJ198*Worksheet!$E$36,2)</f>
        <v>0</v>
      </c>
      <c r="CD198" s="116">
        <f>ROUND(AQ198*Worksheet!$E$38,2)</f>
        <v>0</v>
      </c>
      <c r="CE198" s="116">
        <f>ROUND(AR198*Worksheet!$E$39,2)</f>
        <v>0</v>
      </c>
      <c r="CF198" s="116">
        <f>IF(AND(L198&gt;275,SUM(Y198:AD198)&lt;100),ROUND(SUM(Y198:AD198)*Worksheet!$E$41,2),0)</f>
        <v>0</v>
      </c>
      <c r="CG198" s="116">
        <f>IF(AND(L198&gt;600,SUM(Y198:AD198)&lt;50),ROUND((50-SUM(Y198:AD198))*(Worksheet!$E$41+1),2),0)</f>
        <v>0</v>
      </c>
      <c r="CH198" s="116">
        <f t="shared" si="154"/>
        <v>0</v>
      </c>
      <c r="CI198" s="116">
        <f t="shared" si="178"/>
        <v>0</v>
      </c>
      <c r="CJ198" s="116">
        <f t="shared" si="179"/>
        <v>0</v>
      </c>
      <c r="CK198" s="95">
        <f t="shared" si="186"/>
        <v>0</v>
      </c>
      <c r="CL198" s="116">
        <f t="shared" si="180"/>
        <v>0</v>
      </c>
      <c r="CM198" s="116">
        <f t="shared" si="181"/>
        <v>0</v>
      </c>
      <c r="CN198" s="116">
        <f t="shared" si="176"/>
        <v>0</v>
      </c>
      <c r="CO198" s="131">
        <f>ROUND(IF(F198=4,0,(MAX(ROUND(MAX((BI198*MIN(CL198,K198)*Worksheet!$D$126)+MAX(CL198-K198,0)*Worksheet!$F$50,SUM(J198)),2),SUM(CN198))-SUM(CN198))*MinAdj),2)</f>
        <v>0</v>
      </c>
      <c r="CP198" s="116">
        <f t="shared" si="177"/>
        <v>0</v>
      </c>
      <c r="CQ198" s="131">
        <f>IF(CL198=0,0,-MIN(CP198,MIN(CP198,ROUND(IF(ROUND(IF(CL198=0,0,N198/CL198),2)&lt;STVPP*0.2,STVPP*0.2*CL198*Worksheet!$F$88/1000,N198*Worksheet!$F$88/1000),2))))</f>
        <v>0</v>
      </c>
      <c r="CR198" s="131">
        <f>-MIN(SUM(CP198,CQ198),IF($P198=0,(ROUND(Worksheet!$E$77*S198,2)+ROUND(Worksheet!$E$78*T198,2)+ROUND(Worksheet!$E$79*U198,2)+ROUND(Worksheet!$E$80*V198,2)+ROUND(Worksheet!$E$81*W198,2)+ROUND(Worksheet!$E$82*X198,2)),(ROUND(ROUND(S198*ROUND((1-$O198/$P198),4),2)*Worksheet!$E$77,2)+ROUND(ROUND(T198*ROUND((1-$O198/$P198),4),2)*Worksheet!$E$78,2)+ROUND(ROUND(U198*ROUND((1-$O198/$P198),4),2)*Worksheet!$E$79,2)+ROUND(ROUND(V198*ROUND((1-$O198/$P198),4),2)*Worksheet!$E$80,2)+ROUND(ROUND(W198*ROUND((1-$O198/$P198),4),2)*Worksheet!$E$81,2)+ROUND(ROUND(X198*ROUND((1-$O198/$P198),4),2)*Worksheet!$E$82,2))))</f>
        <v>0</v>
      </c>
      <c r="CS198" s="116">
        <f t="shared" si="155"/>
        <v>0</v>
      </c>
      <c r="CT198" s="116">
        <f>ROUND(MIN(BA198,ROUND((ROUND(AS198*Worksheet!$E$104,2)+ROUND(AV198*Worksheet!$E$107,2)+ROUND(AT198*Worksheet!$E$105,2)+ROUND(AW198*Worksheet!$E$108,2)+ROUND(AU198*Worksheet!$E$106,2)+ROUND(AX198*Worksheet!$E$109,2)+ROUND(AY198*Worksheet!$E$110,2)+ROUND(AZ198*Worksheet!$E$111,2))*Worksheet!$D$114,2))*BaseRate,2)</f>
        <v>0</v>
      </c>
      <c r="CU198" s="121">
        <v>0</v>
      </c>
      <c r="CV198" s="121">
        <v>0</v>
      </c>
      <c r="CW198" s="121">
        <v>0</v>
      </c>
      <c r="CX198" s="121">
        <v>0</v>
      </c>
      <c r="CY198" s="121">
        <v>0</v>
      </c>
      <c r="DA198" s="116">
        <f t="shared" si="156"/>
        <v>0</v>
      </c>
      <c r="DB198" s="116">
        <f>MAX(-CT198,MIN(0,ROUND($R198*EFBPercent+EFBAdd,2)-$Q198),MIN(0,SUM($CS198:CS198)+MIN(0,ROUND($R198*EFBPercent+EFBAdd,2)-$Q198)))</f>
        <v>0</v>
      </c>
      <c r="DC198" s="192">
        <f>IF(CU198&lt;0,0,MAX(-CU198,MIN(0,ROUND($R198*EFBPercent+EFBAdd,2)-$Q198),MIN(0,SUM($CS198:CT198)+MIN(0,ROUND($R198*EFBPercent+EFBAdd,2)-$Q198))))</f>
        <v>0</v>
      </c>
      <c r="DD198" s="192">
        <f>IF(CV198&lt;0,0,MAX(-CV198,MIN(0,ROUND($R198*EFBPercent+EFBAdd,2)-$Q198),MIN(0,SUM($CS198:CU198)+MIN(0,ROUND($R198*EFBPercent+EFBAdd,2)-$Q198))))</f>
        <v>0</v>
      </c>
      <c r="DE198" s="192">
        <f>IF(CW198&lt;0,0,MAX(-CW198,MIN(0,ROUND($R198*EFBPercent+EFBAdd,2)-$Q198),MIN(0,SUM($CS198:CV198)+MIN(0,ROUND($R198*EFBPercent+EFBAdd,2)-$Q198))))</f>
        <v>0</v>
      </c>
      <c r="DF198" s="192">
        <f>IF(CX198&lt;0,0,MAX(-CX198,MIN(0,ROUND($R198*EFBPercent+EFBAdd,2)-$Q198),MIN(0,SUM($CS198:CW198)+MIN(0,ROUND($R198*EFBPercent+EFBAdd,2)-$Q198))))</f>
        <v>0</v>
      </c>
      <c r="DG198" s="116">
        <f>MAX(-CY198,MIN(0,ROUND($R198*EFBPercent+EFBAdd,2)-$Q198),MIN(0,SUM($CS198:CX198)+MIN(0,ROUND($R198*EFBPercent+EFBAdd,2)-$Q198)))</f>
        <v>0</v>
      </c>
      <c r="DI198" s="73">
        <f t="shared" si="157"/>
        <v>0</v>
      </c>
      <c r="DJ198" s="73">
        <f t="shared" si="158"/>
        <v>0</v>
      </c>
      <c r="DK198" s="73">
        <f t="shared" si="159"/>
        <v>0</v>
      </c>
      <c r="DL198" s="73">
        <f t="shared" si="160"/>
        <v>0</v>
      </c>
      <c r="DM198" s="73">
        <f t="shared" si="161"/>
        <v>0</v>
      </c>
      <c r="DN198" s="73">
        <f t="shared" si="162"/>
        <v>0</v>
      </c>
      <c r="DO198" s="73">
        <f t="shared" si="163"/>
        <v>0</v>
      </c>
      <c r="DP198" s="73"/>
      <c r="DQ198" s="73"/>
    </row>
    <row r="199" spans="1:121" ht="10.199999999999999" x14ac:dyDescent="0.2">
      <c r="A199" s="4" t="s">
        <v>651</v>
      </c>
      <c r="B199" s="72">
        <v>1081</v>
      </c>
      <c r="C199" s="13" t="s">
        <v>172</v>
      </c>
      <c r="D199" s="4">
        <v>2027</v>
      </c>
      <c r="E199" s="4" t="s">
        <v>483</v>
      </c>
      <c r="F199" s="4">
        <v>1</v>
      </c>
      <c r="G199" s="4" t="s">
        <v>684</v>
      </c>
      <c r="H199" s="4">
        <v>100</v>
      </c>
      <c r="I199" s="4" t="s">
        <v>1091</v>
      </c>
      <c r="J199" s="5">
        <v>4892274.47</v>
      </c>
      <c r="K199" s="5">
        <v>441.51</v>
      </c>
      <c r="L199" s="5">
        <v>863.83</v>
      </c>
      <c r="M199" s="5">
        <v>1</v>
      </c>
      <c r="N199" s="5">
        <v>30132861</v>
      </c>
      <c r="O199" s="5">
        <v>33.1</v>
      </c>
      <c r="P199" s="5">
        <v>129.6</v>
      </c>
      <c r="Q199" s="5">
        <v>0</v>
      </c>
      <c r="R199" s="5">
        <v>0</v>
      </c>
      <c r="S199" s="5">
        <v>0</v>
      </c>
      <c r="T199" s="5">
        <v>204862.66</v>
      </c>
      <c r="U199" s="5">
        <v>3.59</v>
      </c>
      <c r="V199" s="5">
        <v>81291.760000000009</v>
      </c>
      <c r="W199" s="5">
        <v>11355.55</v>
      </c>
      <c r="X199" s="5">
        <v>15612.91</v>
      </c>
      <c r="Y199" s="5">
        <v>7</v>
      </c>
      <c r="Z199" s="5">
        <v>39</v>
      </c>
      <c r="AA199" s="5">
        <v>189</v>
      </c>
      <c r="AB199" s="5">
        <v>61</v>
      </c>
      <c r="AC199" s="5">
        <v>118</v>
      </c>
      <c r="AD199" s="5">
        <v>0</v>
      </c>
      <c r="AE199" s="5">
        <v>0</v>
      </c>
      <c r="AF199" s="5">
        <v>0</v>
      </c>
      <c r="AG199" s="5">
        <v>2</v>
      </c>
      <c r="AH199" s="5">
        <v>0.23300000000000001</v>
      </c>
      <c r="AI199" s="5">
        <v>0</v>
      </c>
      <c r="AJ199" s="5">
        <v>0</v>
      </c>
      <c r="AK199" s="5">
        <v>1.06</v>
      </c>
      <c r="AL199" s="5">
        <v>403.51</v>
      </c>
      <c r="AM199" s="5">
        <v>17.539999999999964</v>
      </c>
      <c r="AN199" s="5">
        <v>407</v>
      </c>
      <c r="AO199" s="5">
        <f t="shared" si="187"/>
        <v>0</v>
      </c>
      <c r="AP199" s="5">
        <f t="shared" si="175"/>
        <v>0</v>
      </c>
      <c r="AQ199" s="5">
        <v>1.66</v>
      </c>
      <c r="AR199" s="5">
        <v>0</v>
      </c>
      <c r="AS199" s="5">
        <v>0</v>
      </c>
      <c r="AT199" s="5">
        <v>163450</v>
      </c>
      <c r="AU199" s="5">
        <v>0</v>
      </c>
      <c r="AV199" s="5">
        <v>3850</v>
      </c>
      <c r="AW199" s="199">
        <v>863.83</v>
      </c>
      <c r="AX199" s="199">
        <v>2</v>
      </c>
      <c r="AY199" s="199">
        <v>0</v>
      </c>
      <c r="AZ199" s="199">
        <v>0</v>
      </c>
      <c r="BA199" s="5">
        <v>629423.93999999994</v>
      </c>
      <c r="BB199" s="13">
        <v>1786176.06</v>
      </c>
      <c r="BC199" s="101">
        <f>MAX(ROUND(IF(F199&lt;4,IF(H199=0,(SUM(Y199:AD199)*Worksheet!$E$26+Y199*Worksheet!$E$27+AR199*Worksheet!$E$39)*-BaseRate,0)),2),MIN(0,-DI199))</f>
        <v>0</v>
      </c>
      <c r="BD199" s="101">
        <f>MAX(ROUND(IF(F199=4,0,IF(I199=0,0,ROUND(SUM(Y199:AD199)*Worksheet!$E$28,2)*-BaseRate)),2),MIN(0,-DI199-BC199))</f>
        <v>-9655.39</v>
      </c>
      <c r="BE199" s="130">
        <f t="shared" si="182"/>
        <v>0</v>
      </c>
      <c r="BF199" s="130">
        <f t="shared" si="183"/>
        <v>1403</v>
      </c>
      <c r="BG199" s="73"/>
      <c r="BH199" s="118">
        <f t="shared" si="184"/>
        <v>51600.9</v>
      </c>
      <c r="BI199" s="118">
        <f t="shared" si="185"/>
        <v>11080.78</v>
      </c>
      <c r="BJ199" s="232">
        <f>IFERROR(ROUND(IF(AND(BB199*1.12&lt;N199*60/1000,N199/CL199&lt;STVPP*0.2),(CL199*STVPP*0.2*Worksheet!$F$88/1000-BB199*1.12)*PropTaxAdj,IF(BB199*1.12&lt;N199*60/1000,(N199*60/1000-BB199*1.12)*PropTaxAdj,0)),2),0)</f>
        <v>0</v>
      </c>
      <c r="BK199" s="116">
        <f>ROUND(IF($F199=4,0,Y199*Worksheet!$E$16),2)</f>
        <v>7</v>
      </c>
      <c r="BL199" s="116">
        <f>ROUND(IF($F199=4,0,Z199*Worksheet!$E$17),2)</f>
        <v>39</v>
      </c>
      <c r="BM199" s="116">
        <f>ROUND(IF($F199=4,0,AA199*Worksheet!$E$18),2)</f>
        <v>189</v>
      </c>
      <c r="BN199" s="116">
        <f>ROUND(IF($F199=4,0,AB199*Worksheet!$E$19),2)</f>
        <v>61</v>
      </c>
      <c r="BO199" s="116">
        <f>ROUND(IF($F199=4,0,AC199*Worksheet!$E$20),2)</f>
        <v>118</v>
      </c>
      <c r="BP199" s="116">
        <f>ROUND(AD199*Worksheet!$E$21,2)</f>
        <v>0</v>
      </c>
      <c r="BQ199" s="116">
        <f t="shared" si="153"/>
        <v>414</v>
      </c>
      <c r="BR199" s="116">
        <f>ROUND(AD199*Worksheet!$E$25,2)</f>
        <v>0</v>
      </c>
      <c r="BS199" s="116">
        <f>ROUND(SUM(BQ199)*Worksheet!$E$26,2)</f>
        <v>36.43</v>
      </c>
      <c r="BT199" s="116">
        <f>ROUND(Y199*Worksheet!$E$27,2)</f>
        <v>1.19</v>
      </c>
      <c r="BU199" s="116">
        <f>ROUND(AO199*Worksheet!$E$29,2)</f>
        <v>0</v>
      </c>
      <c r="BV199" s="116">
        <f>ROUND(AP199*Worksheet!$E$30,2)</f>
        <v>0</v>
      </c>
      <c r="BW199" s="116">
        <f>ROUND(IF($I199&lt;&gt;0,$BQ199*Worksheet!$E$28,0),2)</f>
        <v>0.83</v>
      </c>
      <c r="BX199" s="116">
        <f>ROUND(AE199*Worksheet!$E$31,2)</f>
        <v>0</v>
      </c>
      <c r="BY199" s="116">
        <f>ROUND(AF199*Worksheet!$E$32,2)</f>
        <v>0</v>
      </c>
      <c r="BZ199" s="116">
        <f>ROUND(AG199*Worksheet!$E$33,2)</f>
        <v>0.14000000000000001</v>
      </c>
      <c r="CA199" s="116">
        <f>ROUND(ROUND(AH199*BQ199,2)*Worksheet!$E$34,2)</f>
        <v>2.41</v>
      </c>
      <c r="CB199" s="116">
        <f>ROUND(AI199*Worksheet!$E$35,2)</f>
        <v>0</v>
      </c>
      <c r="CC199" s="116">
        <f>ROUND(AJ199*Worksheet!$E$36,2)</f>
        <v>0</v>
      </c>
      <c r="CD199" s="116">
        <f>ROUND(AQ199*Worksheet!$E$38,2)</f>
        <v>1</v>
      </c>
      <c r="CE199" s="116">
        <f>ROUND(AR199*Worksheet!$E$39,2)</f>
        <v>0</v>
      </c>
      <c r="CF199" s="116">
        <f>IF(AND(L199&gt;275,SUM(Y199:AD199)&lt;100),ROUND(SUM(Y199:AD199)*Worksheet!$E$41,2),0)</f>
        <v>0</v>
      </c>
      <c r="CG199" s="116">
        <f>IF(AND(L199&gt;600,SUM(Y199:AD199)&lt;50),ROUND((50-SUM(Y199:AD199))*(Worksheet!$E$41+1),2),0)</f>
        <v>0</v>
      </c>
      <c r="CH199" s="116">
        <f t="shared" si="154"/>
        <v>456</v>
      </c>
      <c r="CI199" s="116">
        <f t="shared" si="178"/>
        <v>1.06</v>
      </c>
      <c r="CJ199" s="116">
        <f t="shared" si="179"/>
        <v>454.94</v>
      </c>
      <c r="CK199" s="95">
        <f t="shared" si="186"/>
        <v>1.2836000000000001</v>
      </c>
      <c r="CL199" s="116">
        <f t="shared" si="180"/>
        <v>583.96</v>
      </c>
      <c r="CM199" s="116">
        <f t="shared" si="181"/>
        <v>585.02</v>
      </c>
      <c r="CN199" s="116">
        <f t="shared" si="176"/>
        <v>6805537.6600000001</v>
      </c>
      <c r="CO199" s="131">
        <f>ROUND(IF(F199=4,0,(MAX(ROUND(MAX((BI199*MIN(CL199,K199)*Worksheet!$D$126)+MAX(CL199-K199,0)*Worksheet!$F$50,SUM(J199)),2),SUM(CN199))-SUM(CN199))*MinAdj),2)</f>
        <v>0</v>
      </c>
      <c r="CP199" s="116">
        <f t="shared" si="177"/>
        <v>6805537.6600000001</v>
      </c>
      <c r="CQ199" s="131">
        <f>IF(CL199=0,0,-MIN(CP199,MIN(CP199,ROUND(IF(ROUND(IF(CL199=0,0,N199/CL199),2)&lt;STVPP*0.2,STVPP*0.2*CL199*Worksheet!$F$88/1000,N199*Worksheet!$F$88/1000),2))))</f>
        <v>-1807971.66</v>
      </c>
      <c r="CR199" s="131">
        <f>-MIN(SUM(CP199,CQ199),IF($P199=0,(ROUND(Worksheet!$E$77*S199,2)+ROUND(Worksheet!$E$78*T199,2)+ROUND(Worksheet!$E$79*U199,2)+ROUND(Worksheet!$E$80*V199,2)+ROUND(Worksheet!$E$81*W199,2)+ROUND(Worksheet!$E$82*X199,2)),(ROUND(ROUND(S199*ROUND((1-$O199/$P199),4),2)*Worksheet!$E$77,2)+ROUND(ROUND(T199*ROUND((1-$O199/$P199),4),2)*Worksheet!$E$78,2)+ROUND(ROUND(U199*ROUND((1-$O199/$P199),4),2)*Worksheet!$E$79,2)+ROUND(ROUND(V199*ROUND((1-$O199/$P199),4),2)*Worksheet!$E$80,2)+ROUND(ROUND(W199*ROUND((1-$O199/$P199),4),2)*Worksheet!$E$81,2)+ROUND(ROUND(X199*ROUND((1-$O199/$P199),4),2)*Worksheet!$E$82,2))))</f>
        <v>-174865.48</v>
      </c>
      <c r="CS199" s="116">
        <f t="shared" si="155"/>
        <v>4822700.5199999996</v>
      </c>
      <c r="CT199" s="116">
        <f>ROUND(MIN(BA199,ROUND((ROUND(AS199*Worksheet!$E$104,2)+ROUND(AV199*Worksheet!$E$107,2)+ROUND(AT199*Worksheet!$E$105,2)+ROUND(AW199*Worksheet!$E$108,2)+ROUND(AU199*Worksheet!$E$106,2)+ROUND(AX199*Worksheet!$E$109,2)+ROUND(AY199*Worksheet!$E$110,2)+ROUND(AZ199*Worksheet!$E$111,2))*Worksheet!$D$114,2))*BaseRate,2)</f>
        <v>246270.61</v>
      </c>
      <c r="CU199" s="121">
        <v>0</v>
      </c>
      <c r="CV199" s="121">
        <v>0</v>
      </c>
      <c r="CW199" s="121">
        <v>0</v>
      </c>
      <c r="CX199" s="121">
        <v>0</v>
      </c>
      <c r="CY199" s="121">
        <v>0</v>
      </c>
      <c r="DA199" s="116">
        <f t="shared" si="156"/>
        <v>0</v>
      </c>
      <c r="DB199" s="116">
        <f>MAX(-CT199,MIN(0,ROUND($R199*EFBPercent+EFBAdd,2)-$Q199),MIN(0,SUM($CS199:CS199)+MIN(0,ROUND($R199*EFBPercent+EFBAdd,2)-$Q199)))</f>
        <v>0</v>
      </c>
      <c r="DC199" s="192">
        <f>IF(CU199&lt;0,0,MAX(-CU199,MIN(0,ROUND($R199*EFBPercent+EFBAdd,2)-$Q199),MIN(0,SUM($CS199:CT199)+MIN(0,ROUND($R199*EFBPercent+EFBAdd,2)-$Q199))))</f>
        <v>0</v>
      </c>
      <c r="DD199" s="192">
        <f>IF(CV199&lt;0,0,MAX(-CV199,MIN(0,ROUND($R199*EFBPercent+EFBAdd,2)-$Q199),MIN(0,SUM($CS199:CU199)+MIN(0,ROUND($R199*EFBPercent+EFBAdd,2)-$Q199))))</f>
        <v>0</v>
      </c>
      <c r="DE199" s="192">
        <f>IF(CW199&lt;0,0,MAX(-CW199,MIN(0,ROUND($R199*EFBPercent+EFBAdd,2)-$Q199),MIN(0,SUM($CS199:CV199)+MIN(0,ROUND($R199*EFBPercent+EFBAdd,2)-$Q199))))</f>
        <v>0</v>
      </c>
      <c r="DF199" s="192">
        <f>IF(CX199&lt;0,0,MAX(-CX199,MIN(0,ROUND($R199*EFBPercent+EFBAdd,2)-$Q199),MIN(0,SUM($CS199:CW199)+MIN(0,ROUND($R199*EFBPercent+EFBAdd,2)-$Q199))))</f>
        <v>0</v>
      </c>
      <c r="DG199" s="116">
        <f>MAX(-CY199,MIN(0,ROUND($R199*EFBPercent+EFBAdd,2)-$Q199),MIN(0,SUM($CS199:CX199)+MIN(0,ROUND($R199*EFBPercent+EFBAdd,2)-$Q199)))</f>
        <v>0</v>
      </c>
      <c r="DI199" s="73">
        <f t="shared" si="157"/>
        <v>4822700.5199999996</v>
      </c>
      <c r="DJ199" s="73">
        <f t="shared" si="158"/>
        <v>246270.61</v>
      </c>
      <c r="DK199" s="73">
        <f t="shared" si="159"/>
        <v>0</v>
      </c>
      <c r="DL199" s="73">
        <f t="shared" si="160"/>
        <v>0</v>
      </c>
      <c r="DM199" s="73">
        <f t="shared" si="161"/>
        <v>0</v>
      </c>
      <c r="DN199" s="73">
        <f t="shared" si="162"/>
        <v>0</v>
      </c>
      <c r="DO199" s="73">
        <f t="shared" si="163"/>
        <v>0</v>
      </c>
      <c r="DP199" s="73"/>
      <c r="DQ199" s="73"/>
    </row>
    <row r="200" spans="1:121" ht="10.199999999999999" x14ac:dyDescent="0.2">
      <c r="A200" s="4" t="s">
        <v>1083</v>
      </c>
      <c r="B200" s="72">
        <v>2534</v>
      </c>
      <c r="C200" s="13" t="s">
        <v>1084</v>
      </c>
      <c r="D200" s="4">
        <v>2027</v>
      </c>
      <c r="E200" s="4" t="s">
        <v>1085</v>
      </c>
      <c r="F200" s="4">
        <v>7</v>
      </c>
      <c r="G200" s="4" t="s">
        <v>1083</v>
      </c>
      <c r="H200" s="4">
        <v>0</v>
      </c>
      <c r="I200" s="4">
        <v>0</v>
      </c>
      <c r="J200" s="5">
        <v>0</v>
      </c>
      <c r="K200" s="5">
        <v>0</v>
      </c>
      <c r="L200" s="5">
        <v>0</v>
      </c>
      <c r="M200" s="5">
        <v>0</v>
      </c>
      <c r="N200" s="5">
        <v>0</v>
      </c>
      <c r="O200" s="5">
        <v>0</v>
      </c>
      <c r="P200" s="5">
        <v>0</v>
      </c>
      <c r="Q200" s="5">
        <v>0</v>
      </c>
      <c r="R200" s="5">
        <v>0</v>
      </c>
      <c r="S200" s="5">
        <v>0</v>
      </c>
      <c r="T200" s="5">
        <v>0</v>
      </c>
      <c r="U200" s="5">
        <v>0</v>
      </c>
      <c r="V200" s="5">
        <v>0</v>
      </c>
      <c r="W200" s="5">
        <v>0</v>
      </c>
      <c r="X200" s="5">
        <v>0</v>
      </c>
      <c r="Y200" s="5">
        <v>0</v>
      </c>
      <c r="Z200" s="5">
        <v>0</v>
      </c>
      <c r="AA200" s="5">
        <v>0</v>
      </c>
      <c r="AB200" s="5">
        <v>0</v>
      </c>
      <c r="AC200" s="5">
        <v>0</v>
      </c>
      <c r="AD200" s="5">
        <v>0</v>
      </c>
      <c r="AE200" s="5">
        <v>0</v>
      </c>
      <c r="AF200" s="5">
        <v>0</v>
      </c>
      <c r="AG200" s="5">
        <v>0</v>
      </c>
      <c r="AH200" s="5">
        <v>0</v>
      </c>
      <c r="AI200" s="5">
        <v>0</v>
      </c>
      <c r="AJ200" s="5">
        <v>0</v>
      </c>
      <c r="AK200" s="5">
        <v>0</v>
      </c>
      <c r="AL200" s="5">
        <v>0</v>
      </c>
      <c r="AM200" s="5">
        <v>0</v>
      </c>
      <c r="AN200" s="5">
        <v>0</v>
      </c>
      <c r="AO200" s="5">
        <f t="shared" si="187"/>
        <v>0</v>
      </c>
      <c r="AP200" s="5">
        <v>0</v>
      </c>
      <c r="AQ200" s="5">
        <v>0</v>
      </c>
      <c r="AR200" s="5">
        <v>0</v>
      </c>
      <c r="AS200" s="5">
        <v>0</v>
      </c>
      <c r="AT200" s="5">
        <v>0</v>
      </c>
      <c r="AU200" s="5">
        <v>0</v>
      </c>
      <c r="AV200" s="5">
        <v>0</v>
      </c>
      <c r="AW200" s="199">
        <v>0</v>
      </c>
      <c r="AX200" s="199">
        <v>0</v>
      </c>
      <c r="AY200" s="199">
        <v>0</v>
      </c>
      <c r="AZ200" s="199">
        <v>0</v>
      </c>
      <c r="BA200" s="5">
        <v>0</v>
      </c>
      <c r="BB200" s="13">
        <v>0</v>
      </c>
      <c r="BC200" s="101">
        <f>MAX(ROUND(IF(F200&lt;4,IF(H200=0,(SUM(Y200:AD200)*Worksheet!$E$26+Y200*Worksheet!$E$27+AR200*Worksheet!$E$39)*-BaseRate,0)),2),MIN(0,-DI200))</f>
        <v>0</v>
      </c>
      <c r="BD200" s="101">
        <f>MAX(ROUND(IF(F200=4,0,IF(I200=0,0,ROUND(SUM(Y200:AD200)*Worksheet!$E$28,2)*-BaseRate)),2),MIN(0,-DI200-BC200))</f>
        <v>0</v>
      </c>
      <c r="BE200" s="130">
        <f t="shared" si="182"/>
        <v>0</v>
      </c>
      <c r="BF200" s="130">
        <f t="shared" si="183"/>
        <v>0</v>
      </c>
      <c r="BG200" s="73"/>
      <c r="BH200" s="118">
        <f t="shared" si="184"/>
        <v>0</v>
      </c>
      <c r="BI200" s="118">
        <f t="shared" si="185"/>
        <v>0</v>
      </c>
      <c r="BJ200" s="232">
        <f>IFERROR(ROUND(IF(AND(BB200*1.12&lt;N200*60/1000,N200/CL200&lt;STVPP*0.2),(CL200*STVPP*0.2*Worksheet!$F$88/1000-BB200*1.12)*PropTaxAdj,IF(BB200*1.12&lt;N200*60/1000,(N200*60/1000-BB200*1.12)*PropTaxAdj,0)),2),0)</f>
        <v>0</v>
      </c>
      <c r="BK200" s="116">
        <f>ROUND(IF($F200=4,0,Y200*Worksheet!$E$16),2)</f>
        <v>0</v>
      </c>
      <c r="BL200" s="116">
        <f>ROUND(IF($F200=4,0,Z200*Worksheet!$E$17),2)</f>
        <v>0</v>
      </c>
      <c r="BM200" s="116">
        <f>ROUND(IF($F200=4,0,AA200*Worksheet!$E$18),2)</f>
        <v>0</v>
      </c>
      <c r="BN200" s="116">
        <f>ROUND(IF($F200=4,0,AB200*Worksheet!$E$19),2)</f>
        <v>0</v>
      </c>
      <c r="BO200" s="116">
        <f>ROUND(IF($F200=4,0,AC200*Worksheet!$E$20),2)</f>
        <v>0</v>
      </c>
      <c r="BP200" s="116">
        <f>ROUND(AD200*Worksheet!$E$21,2)</f>
        <v>0</v>
      </c>
      <c r="BQ200" s="116">
        <f t="shared" si="153"/>
        <v>0</v>
      </c>
      <c r="BR200" s="116">
        <f>ROUND(AD200*Worksheet!$E$25,2)</f>
        <v>0</v>
      </c>
      <c r="BS200" s="116">
        <f>ROUND(SUM(BQ200)*Worksheet!$E$26,2)</f>
        <v>0</v>
      </c>
      <c r="BT200" s="116">
        <f>ROUND(Y200*Worksheet!$E$27,2)</f>
        <v>0</v>
      </c>
      <c r="BU200" s="116">
        <f>ROUND(AO200*Worksheet!$E$29,2)</f>
        <v>0</v>
      </c>
      <c r="BV200" s="116">
        <f>ROUND(AP200*Worksheet!$E$30,2)</f>
        <v>0</v>
      </c>
      <c r="BW200" s="116">
        <f>ROUND(IF($I200&lt;&gt;0,$BQ200*Worksheet!$E$28,0),2)</f>
        <v>0</v>
      </c>
      <c r="BX200" s="116">
        <f>ROUND(AE200*Worksheet!$E$31,2)</f>
        <v>0</v>
      </c>
      <c r="BY200" s="116">
        <f>ROUND(AF200*Worksheet!$E$32,2)</f>
        <v>0</v>
      </c>
      <c r="BZ200" s="116">
        <f>ROUND(AG200*Worksheet!$E$33,2)</f>
        <v>0</v>
      </c>
      <c r="CA200" s="116">
        <f>ROUND(ROUND(AH200*BQ200,2)*Worksheet!$E$34,2)</f>
        <v>0</v>
      </c>
      <c r="CB200" s="116">
        <f>ROUND(AI200*Worksheet!$E$35,2)</f>
        <v>0</v>
      </c>
      <c r="CC200" s="116">
        <f>ROUND(AJ200*Worksheet!$E$36,2)</f>
        <v>0</v>
      </c>
      <c r="CD200" s="116">
        <f>ROUND(AQ200*Worksheet!$E$38,2)</f>
        <v>0</v>
      </c>
      <c r="CE200" s="116">
        <f>ROUND(AR200*Worksheet!$E$39,2)</f>
        <v>0</v>
      </c>
      <c r="CF200" s="116">
        <f>IF(AND(L200&gt;275,SUM(Y200:AD200)&lt;100),ROUND(SUM(Y200:AD200)*Worksheet!$E$41,2),0)</f>
        <v>0</v>
      </c>
      <c r="CG200" s="116">
        <f>IF(AND(L200&gt;600,SUM(Y200:AD200)&lt;50),ROUND((50-SUM(Y200:AD200))*(Worksheet!$E$41+1),2),0)</f>
        <v>0</v>
      </c>
      <c r="CH200" s="116">
        <f t="shared" si="154"/>
        <v>0</v>
      </c>
      <c r="CI200" s="116">
        <f t="shared" si="178"/>
        <v>0</v>
      </c>
      <c r="CJ200" s="116">
        <f t="shared" si="179"/>
        <v>0</v>
      </c>
      <c r="CK200" s="95">
        <f t="shared" si="186"/>
        <v>0</v>
      </c>
      <c r="CL200" s="116">
        <f t="shared" si="180"/>
        <v>0</v>
      </c>
      <c r="CM200" s="116">
        <f t="shared" si="181"/>
        <v>0</v>
      </c>
      <c r="CN200" s="116">
        <f t="shared" si="176"/>
        <v>0</v>
      </c>
      <c r="CO200" s="131">
        <f>ROUND(IF(F200=4,0,(MAX(ROUND(MAX((BI200*MIN(CL200,K200)*Worksheet!$D$126)+MAX(CL200-K200,0)*Worksheet!$F$50,SUM(J200)),2),SUM(CN200))-SUM(CN200))*MinAdj),2)</f>
        <v>0</v>
      </c>
      <c r="CP200" s="116">
        <f t="shared" si="177"/>
        <v>0</v>
      </c>
      <c r="CQ200" s="131">
        <f>IF(CL200=0,0,-MIN(CP200,MIN(CP200,ROUND(IF(ROUND(IF(CL200=0,0,N200/CL200),2)&lt;STVPP*0.2,STVPP*0.2*CL200*Worksheet!$F$88/1000,N200*Worksheet!$F$88/1000),2))))</f>
        <v>0</v>
      </c>
      <c r="CR200" s="131">
        <f>-MIN(SUM(CP200,CQ200),IF($P200=0,(ROUND(Worksheet!$E$77*S200,2)+ROUND(Worksheet!$E$78*T200,2)+ROUND(Worksheet!$E$79*U200,2)+ROUND(Worksheet!$E$80*V200,2)+ROUND(Worksheet!$E$81*W200,2)+ROUND(Worksheet!$E$82*X200,2)),(ROUND(ROUND(S200*ROUND((1-$O200/$P200),4),2)*Worksheet!$E$77,2)+ROUND(ROUND(T200*ROUND((1-$O200/$P200),4),2)*Worksheet!$E$78,2)+ROUND(ROUND(U200*ROUND((1-$O200/$P200),4),2)*Worksheet!$E$79,2)+ROUND(ROUND(V200*ROUND((1-$O200/$P200),4),2)*Worksheet!$E$80,2)+ROUND(ROUND(W200*ROUND((1-$O200/$P200),4),2)*Worksheet!$E$81,2)+ROUND(ROUND(X200*ROUND((1-$O200/$P200),4),2)*Worksheet!$E$82,2))))</f>
        <v>0</v>
      </c>
      <c r="CS200" s="116">
        <f t="shared" si="155"/>
        <v>0</v>
      </c>
      <c r="CT200" s="116">
        <f>ROUND(MIN(BA200,ROUND((ROUND(AS200*Worksheet!$E$104,2)+ROUND(AV200*Worksheet!$E$107,2)+ROUND(AT200*Worksheet!$E$105,2)+ROUND(AW200*Worksheet!$E$108,2)+ROUND(AU200*Worksheet!$E$106,2)+ROUND(AX200*Worksheet!$E$109,2)+ROUND(AY200*Worksheet!$E$110,2)+ROUND(AZ200*Worksheet!$E$111,2))*Worksheet!$D$114,2))*BaseRate,2)</f>
        <v>0</v>
      </c>
      <c r="CU200" s="121">
        <v>0</v>
      </c>
      <c r="CV200" s="121">
        <v>37584.730000000003</v>
      </c>
      <c r="CW200" s="121">
        <v>24688.15</v>
      </c>
      <c r="CX200" s="121">
        <v>0</v>
      </c>
      <c r="CY200" s="121">
        <v>0</v>
      </c>
      <c r="DA200" s="116">
        <f t="shared" si="156"/>
        <v>0</v>
      </c>
      <c r="DB200" s="116">
        <f>MAX(-CT200,MIN(0,ROUND($R200*EFBPercent+EFBAdd,2)-$Q200),MIN(0,SUM($CS200:CS200)+MIN(0,ROUND($R200*EFBPercent+EFBAdd,2)-$Q200)))</f>
        <v>0</v>
      </c>
      <c r="DC200" s="192">
        <f>IF(CU200&lt;0,0,MAX(-CU200,MIN(0,ROUND($R200*EFBPercent+EFBAdd,2)-$Q200),MIN(0,SUM($CS200:CT200)+MIN(0,ROUND($R200*EFBPercent+EFBAdd,2)-$Q200))))</f>
        <v>0</v>
      </c>
      <c r="DD200" s="192">
        <f>IF(CV200&lt;0,0,MAX(-CV200,MIN(0,ROUND($R200*EFBPercent+EFBAdd,2)-$Q200),MIN(0,SUM($CS200:CU200)+MIN(0,ROUND($R200*EFBPercent+EFBAdd,2)-$Q200))))</f>
        <v>0</v>
      </c>
      <c r="DE200" s="192">
        <f>IF(CW200&lt;0,0,MAX(-CW200,MIN(0,ROUND($R200*EFBPercent+EFBAdd,2)-$Q200),MIN(0,SUM($CS200:CV200)+MIN(0,ROUND($R200*EFBPercent+EFBAdd,2)-$Q200))))</f>
        <v>0</v>
      </c>
      <c r="DF200" s="192">
        <f>IF(CX200&lt;0,0,MAX(-CX200,MIN(0,ROUND($R200*EFBPercent+EFBAdd,2)-$Q200),MIN(0,SUM($CS200:CW200)+MIN(0,ROUND($R200*EFBPercent+EFBAdd,2)-$Q200))))</f>
        <v>0</v>
      </c>
      <c r="DG200" s="116">
        <f>MAX(-CY200,MIN(0,ROUND($R200*EFBPercent+EFBAdd,2)-$Q200),MIN(0,SUM($CS200:CX200)+MIN(0,ROUND($R200*EFBPercent+EFBAdd,2)-$Q200)))</f>
        <v>0</v>
      </c>
      <c r="DI200" s="73">
        <f t="shared" si="157"/>
        <v>0</v>
      </c>
      <c r="DJ200" s="73">
        <f t="shared" si="158"/>
        <v>0</v>
      </c>
      <c r="DK200" s="73">
        <f t="shared" si="159"/>
        <v>0</v>
      </c>
      <c r="DL200" s="73">
        <f t="shared" si="160"/>
        <v>37584.730000000003</v>
      </c>
      <c r="DM200" s="73">
        <f t="shared" si="161"/>
        <v>24688.15</v>
      </c>
      <c r="DN200" s="73">
        <f t="shared" si="162"/>
        <v>0</v>
      </c>
      <c r="DO200" s="73">
        <f t="shared" si="163"/>
        <v>0</v>
      </c>
      <c r="DP200" s="73"/>
      <c r="DQ200" s="73"/>
    </row>
    <row r="201" spans="1:121" ht="10.199999999999999" x14ac:dyDescent="0.2">
      <c r="A201" s="4" t="s">
        <v>684</v>
      </c>
      <c r="B201" s="72">
        <v>2523</v>
      </c>
      <c r="C201" s="169" t="s">
        <v>201</v>
      </c>
      <c r="D201" s="4">
        <v>2027</v>
      </c>
      <c r="E201" s="4" t="s">
        <v>1051</v>
      </c>
      <c r="F201" s="4">
        <v>7</v>
      </c>
      <c r="G201" s="4" t="s">
        <v>684</v>
      </c>
      <c r="H201" s="4">
        <v>0</v>
      </c>
      <c r="I201" s="4">
        <v>0</v>
      </c>
      <c r="J201" s="5">
        <v>0</v>
      </c>
      <c r="K201" s="5">
        <v>0</v>
      </c>
      <c r="L201" s="5">
        <v>0</v>
      </c>
      <c r="M201" s="5">
        <v>0</v>
      </c>
      <c r="N201" s="5">
        <v>0</v>
      </c>
      <c r="O201" s="5">
        <v>0</v>
      </c>
      <c r="P201" s="5">
        <v>0</v>
      </c>
      <c r="Q201" s="5">
        <v>0</v>
      </c>
      <c r="R201" s="5">
        <v>0</v>
      </c>
      <c r="S201" s="5">
        <v>0</v>
      </c>
      <c r="T201" s="5">
        <v>0</v>
      </c>
      <c r="U201" s="5">
        <v>0</v>
      </c>
      <c r="V201" s="5">
        <v>0</v>
      </c>
      <c r="W201" s="5">
        <v>0</v>
      </c>
      <c r="X201" s="5">
        <v>0</v>
      </c>
      <c r="Y201" s="5">
        <v>0</v>
      </c>
      <c r="Z201" s="5">
        <v>0</v>
      </c>
      <c r="AA201" s="5">
        <v>0</v>
      </c>
      <c r="AB201" s="5">
        <v>0</v>
      </c>
      <c r="AC201" s="5">
        <v>0</v>
      </c>
      <c r="AD201" s="5">
        <v>0</v>
      </c>
      <c r="AE201" s="5">
        <v>0</v>
      </c>
      <c r="AF201" s="5">
        <v>0</v>
      </c>
      <c r="AG201" s="5">
        <v>0</v>
      </c>
      <c r="AH201" s="5">
        <v>0</v>
      </c>
      <c r="AI201" s="5">
        <v>0</v>
      </c>
      <c r="AJ201" s="5">
        <v>0</v>
      </c>
      <c r="AK201" s="5">
        <v>0</v>
      </c>
      <c r="AL201" s="5">
        <v>0</v>
      </c>
      <c r="AM201" s="5">
        <v>0</v>
      </c>
      <c r="AN201" s="5">
        <v>0</v>
      </c>
      <c r="AO201" s="5">
        <f t="shared" si="187"/>
        <v>0</v>
      </c>
      <c r="AP201" s="5">
        <v>0</v>
      </c>
      <c r="AQ201" s="5">
        <v>0</v>
      </c>
      <c r="AR201" s="5">
        <v>0</v>
      </c>
      <c r="AS201" s="5">
        <v>0</v>
      </c>
      <c r="AT201" s="5">
        <v>0</v>
      </c>
      <c r="AU201" s="5">
        <v>0</v>
      </c>
      <c r="AV201" s="5">
        <v>0</v>
      </c>
      <c r="AW201" s="5">
        <v>0</v>
      </c>
      <c r="AX201" s="5">
        <v>0</v>
      </c>
      <c r="AY201" s="199">
        <v>0</v>
      </c>
      <c r="AZ201" s="199">
        <v>0</v>
      </c>
      <c r="BA201" s="5">
        <v>0</v>
      </c>
      <c r="BB201" s="13">
        <v>0</v>
      </c>
      <c r="BC201" s="101">
        <f>MAX(ROUND(IF(F201&lt;4,IF(H201=0,(SUM(Y201:AD201)*Worksheet!$E$26+Y201*Worksheet!$E$27+AR201*Worksheet!$E$39)*-BaseRate,0)),2),MIN(0,-DI201))</f>
        <v>0</v>
      </c>
      <c r="BD201" s="101">
        <f>MAX(ROUND(IF(F201=4,0,IF(I201=0,0,ROUND(SUM(Y201:AD201)*Worksheet!$E$28,2)*-BaseRate)),2),MIN(0,-DI201-BC201))</f>
        <v>0</v>
      </c>
      <c r="BE201" s="130">
        <f t="shared" si="182"/>
        <v>0</v>
      </c>
      <c r="BF201" s="130">
        <f t="shared" si="183"/>
        <v>0</v>
      </c>
      <c r="BG201" s="73"/>
      <c r="BH201" s="118">
        <f t="shared" si="184"/>
        <v>0</v>
      </c>
      <c r="BI201" s="118">
        <f t="shared" si="185"/>
        <v>0</v>
      </c>
      <c r="BJ201" s="232">
        <f>IFERROR(ROUND(IF(AND(BB201*1.12&lt;N201*60/1000,N201/CL201&lt;STVPP*0.2),(CL201*STVPP*0.2*Worksheet!$F$88/1000-BB201*1.12)*PropTaxAdj,IF(BB201*1.12&lt;N201*60/1000,(N201*60/1000-BB201*1.12)*PropTaxAdj,0)),2),0)</f>
        <v>0</v>
      </c>
      <c r="BK201" s="116">
        <f>ROUND(IF($F201=4,0,Y201*Worksheet!$E$16),2)</f>
        <v>0</v>
      </c>
      <c r="BL201" s="116">
        <f>ROUND(IF($F201=4,0,Z201*Worksheet!$E$17),2)</f>
        <v>0</v>
      </c>
      <c r="BM201" s="116">
        <f>ROUND(IF($F201=4,0,AA201*Worksheet!$E$18),2)</f>
        <v>0</v>
      </c>
      <c r="BN201" s="116">
        <f>ROUND(IF($F201=4,0,AB201*Worksheet!$E$19),2)</f>
        <v>0</v>
      </c>
      <c r="BO201" s="116">
        <f>ROUND(IF($F201=4,0,AC201*Worksheet!$E$20),2)</f>
        <v>0</v>
      </c>
      <c r="BP201" s="116">
        <f>ROUND(AD201*Worksheet!$E$21,2)</f>
        <v>0</v>
      </c>
      <c r="BQ201" s="116">
        <f>SUM(BK201:BP201)</f>
        <v>0</v>
      </c>
      <c r="BR201" s="116">
        <f>ROUND(AD201*Worksheet!$E$25,2)</f>
        <v>0</v>
      </c>
      <c r="BS201" s="116">
        <f>ROUND(SUM(BQ201)*Worksheet!$E$26,2)</f>
        <v>0</v>
      </c>
      <c r="BT201" s="116">
        <f>ROUND(Y201*Worksheet!$E$27,2)</f>
        <v>0</v>
      </c>
      <c r="BU201" s="116">
        <f>ROUND(AO201*Worksheet!$E$29,2)</f>
        <v>0</v>
      </c>
      <c r="BV201" s="116">
        <f>ROUND(AP201*Worksheet!$E$30,2)</f>
        <v>0</v>
      </c>
      <c r="BW201" s="116">
        <f>ROUND(IF($I201&lt;&gt;0,$BQ201*Worksheet!$E$28,0),2)</f>
        <v>0</v>
      </c>
      <c r="BX201" s="116">
        <f>ROUND(AE201*Worksheet!$E$31,2)</f>
        <v>0</v>
      </c>
      <c r="BY201" s="116">
        <f>ROUND(AF201*Worksheet!$E$32,2)</f>
        <v>0</v>
      </c>
      <c r="BZ201" s="116">
        <f>ROUND(AG201*Worksheet!$E$33,2)</f>
        <v>0</v>
      </c>
      <c r="CA201" s="116">
        <f>ROUND(ROUND(AH201*BQ201,2)*Worksheet!$E$34,2)</f>
        <v>0</v>
      </c>
      <c r="CB201" s="116">
        <f>ROUND(AI201*Worksheet!$E$35,2)</f>
        <v>0</v>
      </c>
      <c r="CC201" s="116">
        <f>ROUND(AJ201*Worksheet!$E$36,2)</f>
        <v>0</v>
      </c>
      <c r="CD201" s="116">
        <f>ROUND(AQ201*Worksheet!$E$38,2)</f>
        <v>0</v>
      </c>
      <c r="CE201" s="116">
        <f>ROUND(AR201*Worksheet!$E$39,2)</f>
        <v>0</v>
      </c>
      <c r="CF201" s="116">
        <f>IF(AND(L201&gt;275,SUM(Y201:AD201)&lt;100),ROUND(SUM(Y201:AD201)*Worksheet!$E$41,2),0)</f>
        <v>0</v>
      </c>
      <c r="CG201" s="116">
        <f>IF(AND(L201&gt;600,SUM(Y201:AD201)&lt;50),ROUND((50-SUM(Y201:AD201))*(Worksheet!$E$41+1),2),0)</f>
        <v>0</v>
      </c>
      <c r="CH201" s="116">
        <f>SUM(BQ201:CG201)</f>
        <v>0</v>
      </c>
      <c r="CI201" s="116">
        <f t="shared" si="178"/>
        <v>0</v>
      </c>
      <c r="CJ201" s="116">
        <f t="shared" si="179"/>
        <v>0</v>
      </c>
      <c r="CK201" s="95">
        <f t="shared" si="186"/>
        <v>0</v>
      </c>
      <c r="CL201" s="116">
        <f t="shared" si="180"/>
        <v>0</v>
      </c>
      <c r="CM201" s="116">
        <f t="shared" si="181"/>
        <v>0</v>
      </c>
      <c r="CN201" s="116">
        <f t="shared" si="176"/>
        <v>0</v>
      </c>
      <c r="CO201" s="131">
        <f>ROUND(IF(F201=4,0,(MAX(ROUND(MAX((BI201*MIN(CL201,K201)*Worksheet!$D$126)+MAX(CL201-K201,0)*Worksheet!$F$50,SUM(J201)),2),SUM(CN201))-SUM(CN201))*MinAdj),2)</f>
        <v>0</v>
      </c>
      <c r="CP201" s="116">
        <f t="shared" si="177"/>
        <v>0</v>
      </c>
      <c r="CQ201" s="131">
        <f>IF(CL201=0,0,-MIN(CP201,MIN(CP201,ROUND(IF(ROUND(IF(CL201=0,0,N201/CL201),2)&lt;STVPP*0.2,STVPP*0.2*CL201*Worksheet!$F$88/1000,N201*Worksheet!$F$88/1000),2))))</f>
        <v>0</v>
      </c>
      <c r="CR201" s="131">
        <f>-MIN(SUM(CP201,CQ201),IF($P201=0,(ROUND(Worksheet!$E$77*S201,2)+ROUND(Worksheet!$E$78*T201,2)+ROUND(Worksheet!$E$79*U201,2)+ROUND(Worksheet!$E$80*V201,2)+ROUND(Worksheet!$E$81*W201,2)+ROUND(Worksheet!$E$82*X201,2)),(ROUND(ROUND(S201*ROUND((1-$O201/$P201),4),2)*Worksheet!$E$77,2)+ROUND(ROUND(T201*ROUND((1-$O201/$P201),4),2)*Worksheet!$E$78,2)+ROUND(ROUND(U201*ROUND((1-$O201/$P201),4),2)*Worksheet!$E$79,2)+ROUND(ROUND(V201*ROUND((1-$O201/$P201),4),2)*Worksheet!$E$80,2)+ROUND(ROUND(W201*ROUND((1-$O201/$P201),4),2)*Worksheet!$E$81,2)+ROUND(ROUND(X201*ROUND((1-$O201/$P201),4),2)*Worksheet!$E$82,2))))</f>
        <v>0</v>
      </c>
      <c r="CS201" s="116">
        <f>SUM(CP201:CR201)</f>
        <v>0</v>
      </c>
      <c r="CT201" s="116">
        <f>ROUND(MIN(BA201,ROUND((ROUND(AS201*Worksheet!$E$104,2)+ROUND(AV201*Worksheet!$E$107,2)+ROUND(AT201*Worksheet!$E$105,2)+ROUND(AW201*Worksheet!$E$108,2)+ROUND(AU201*Worksheet!$E$106,2)+ROUND(AX201*Worksheet!$E$109,2)+ROUND(AY201*Worksheet!$E$110,2)+ROUND(AZ201*Worksheet!$E$111,2))*Worksheet!$D$114,2))*BaseRate,2)</f>
        <v>0</v>
      </c>
      <c r="CU201" s="121">
        <v>0</v>
      </c>
      <c r="CV201" s="121">
        <v>0</v>
      </c>
      <c r="CW201" s="121">
        <v>0</v>
      </c>
      <c r="CX201" s="121">
        <v>0</v>
      </c>
      <c r="CY201" s="121">
        <v>0</v>
      </c>
      <c r="DA201" s="116">
        <f>MAX(-CS201,MIN(0,ROUND($R201*EFBPercent+EFBAdd,2)-$Q201))</f>
        <v>0</v>
      </c>
      <c r="DB201" s="116">
        <f>MAX(-CT201,MIN(0,ROUND($R201*EFBPercent+EFBAdd,2)-$Q201),MIN(0,SUM($CS201:CS201)+MIN(0,ROUND($R201*EFBPercent+EFBAdd,2)-$Q201)))</f>
        <v>0</v>
      </c>
      <c r="DC201" s="192">
        <f>IF(CU201&lt;0,0,MAX(-CU201,MIN(0,ROUND($R201*EFBPercent+EFBAdd,2)-$Q201),MIN(0,SUM($CS201:CT201)+MIN(0,ROUND($R201*EFBPercent+EFBAdd,2)-$Q201))))</f>
        <v>0</v>
      </c>
      <c r="DD201" s="192">
        <f>IF(CV201&lt;0,0,MAX(-CV201,MIN(0,ROUND($R201*EFBPercent+EFBAdd,2)-$Q201),MIN(0,SUM($CS201:CU201)+MIN(0,ROUND($R201*EFBPercent+EFBAdd,2)-$Q201))))</f>
        <v>0</v>
      </c>
      <c r="DE201" s="192">
        <f>IF(CW201&lt;0,0,MAX(-CW201,MIN(0,ROUND($R201*EFBPercent+EFBAdd,2)-$Q201),MIN(0,SUM($CS201:CV201)+MIN(0,ROUND($R201*EFBPercent+EFBAdd,2)-$Q201))))</f>
        <v>0</v>
      </c>
      <c r="DF201" s="192">
        <f>IF(CX201&lt;0,0,MAX(-CX201,MIN(0,ROUND($R201*EFBPercent+EFBAdd,2)-$Q201),MIN(0,SUM($CS201:CW201)+MIN(0,ROUND($R201*EFBPercent+EFBAdd,2)-$Q201))))</f>
        <v>0</v>
      </c>
      <c r="DG201" s="116">
        <f>MAX(-CY201,MIN(0,ROUND($R201*EFBPercent+EFBAdd,2)-$Q201),MIN(0,SUM($CS201:CX201)+MIN(0,ROUND($R201*EFBPercent+EFBAdd,2)-$Q201)))</f>
        <v>0</v>
      </c>
      <c r="DI201" s="73">
        <f t="shared" ref="DI201:DO201" si="188">+CS201+DA201</f>
        <v>0</v>
      </c>
      <c r="DJ201" s="73">
        <f t="shared" si="188"/>
        <v>0</v>
      </c>
      <c r="DK201" s="73">
        <f t="shared" si="188"/>
        <v>0</v>
      </c>
      <c r="DL201" s="73">
        <f t="shared" si="188"/>
        <v>0</v>
      </c>
      <c r="DM201" s="73">
        <f t="shared" si="188"/>
        <v>0</v>
      </c>
      <c r="DN201" s="73">
        <f t="shared" si="188"/>
        <v>0</v>
      </c>
      <c r="DO201" s="73">
        <f t="shared" si="188"/>
        <v>0</v>
      </c>
      <c r="DP201" s="73"/>
      <c r="DQ201" s="73"/>
    </row>
    <row r="202" spans="1:121" ht="10.199999999999999" x14ac:dyDescent="0.2">
      <c r="A202" s="4" t="s">
        <v>652</v>
      </c>
      <c r="B202" s="72">
        <v>1040</v>
      </c>
      <c r="C202" s="13" t="s">
        <v>173</v>
      </c>
      <c r="D202" s="4">
        <v>2027</v>
      </c>
      <c r="E202" s="4" t="s">
        <v>484</v>
      </c>
      <c r="F202" s="4">
        <v>1</v>
      </c>
      <c r="G202" s="4" t="s">
        <v>666</v>
      </c>
      <c r="H202" s="4">
        <v>100</v>
      </c>
      <c r="I202" s="4" t="s">
        <v>849</v>
      </c>
      <c r="J202" s="5">
        <v>2619875.0699999998</v>
      </c>
      <c r="K202" s="5">
        <v>214.13</v>
      </c>
      <c r="L202" s="5">
        <v>561.69000000000005</v>
      </c>
      <c r="M202" s="5">
        <v>0</v>
      </c>
      <c r="N202" s="5">
        <v>20524436</v>
      </c>
      <c r="O202" s="5">
        <v>0</v>
      </c>
      <c r="P202" s="5">
        <v>83.88</v>
      </c>
      <c r="Q202" s="5">
        <v>0</v>
      </c>
      <c r="R202" s="5">
        <v>0</v>
      </c>
      <c r="S202" s="5">
        <v>0</v>
      </c>
      <c r="T202" s="5">
        <v>0</v>
      </c>
      <c r="U202" s="5">
        <v>0</v>
      </c>
      <c r="V202" s="5">
        <v>10748.74</v>
      </c>
      <c r="W202" s="5">
        <v>5376.6</v>
      </c>
      <c r="X202" s="5">
        <v>12230.949999999999</v>
      </c>
      <c r="Y202" s="5">
        <v>0.08</v>
      </c>
      <c r="Z202" s="5">
        <v>18</v>
      </c>
      <c r="AA202" s="5">
        <v>66</v>
      </c>
      <c r="AB202" s="5">
        <v>28</v>
      </c>
      <c r="AC202" s="5">
        <v>62</v>
      </c>
      <c r="AD202" s="5">
        <v>0</v>
      </c>
      <c r="AE202" s="5">
        <v>0.87</v>
      </c>
      <c r="AF202" s="5">
        <v>0</v>
      </c>
      <c r="AG202" s="5">
        <v>0.87</v>
      </c>
      <c r="AH202" s="5">
        <v>0.24099999999999999</v>
      </c>
      <c r="AI202" s="5">
        <v>0</v>
      </c>
      <c r="AJ202" s="5">
        <v>0</v>
      </c>
      <c r="AK202" s="5">
        <v>0</v>
      </c>
      <c r="AL202" s="5">
        <v>171.31</v>
      </c>
      <c r="AM202" s="5">
        <v>0</v>
      </c>
      <c r="AN202" s="5">
        <v>174</v>
      </c>
      <c r="AO202" s="5">
        <f t="shared" si="187"/>
        <v>0</v>
      </c>
      <c r="AP202" s="5">
        <f t="shared" ref="AP202:AP208" si="189">IF(AM202&gt;0,SUM(Z202:AD202)-AN202,0)</f>
        <v>0</v>
      </c>
      <c r="AQ202" s="5">
        <v>0</v>
      </c>
      <c r="AR202" s="5">
        <v>0</v>
      </c>
      <c r="AS202" s="5">
        <v>0</v>
      </c>
      <c r="AT202" s="5">
        <v>82904</v>
      </c>
      <c r="AU202" s="5">
        <v>0</v>
      </c>
      <c r="AV202" s="5">
        <v>1376</v>
      </c>
      <c r="AW202" s="5">
        <v>561.69000000000005</v>
      </c>
      <c r="AX202" s="5">
        <v>1</v>
      </c>
      <c r="AY202" s="199">
        <v>0</v>
      </c>
      <c r="AZ202" s="199">
        <v>0</v>
      </c>
      <c r="BA202" s="5">
        <v>225940.76</v>
      </c>
      <c r="BB202" s="13">
        <v>1211109.42</v>
      </c>
      <c r="BC202" s="101">
        <f>MAX(ROUND(IF(F202&lt;4,IF(H202=0,(SUM(Y202:AD202)*Worksheet!$E$26+Y202*Worksheet!$E$27+AR202*Worksheet!$E$39)*-BaseRate,0)),2),MIN(0,-DI202))</f>
        <v>0</v>
      </c>
      <c r="BD202" s="101">
        <f>MAX(ROUND(IF(F202=4,0,IF(I202=0,0,ROUND(SUM(Y202:AD202)*Worksheet!$E$28,2)*-BaseRate)),2),MIN(0,-DI202-BC202))</f>
        <v>-4071.55</v>
      </c>
      <c r="BE202" s="130">
        <f t="shared" si="182"/>
        <v>0</v>
      </c>
      <c r="BF202" s="130">
        <f t="shared" si="183"/>
        <v>1405</v>
      </c>
      <c r="BG202" s="73"/>
      <c r="BH202" s="118">
        <f t="shared" si="184"/>
        <v>80101.61</v>
      </c>
      <c r="BI202" s="118">
        <f t="shared" si="185"/>
        <v>12234.97</v>
      </c>
      <c r="BJ202" s="232">
        <f>IFERROR(ROUND(IF(AND(BB202*1.12&lt;N202*60/1000,N202/CL202&lt;STVPP*0.2),(CL202*STVPP*0.2*Worksheet!$F$88/1000-BB202*1.12)*PropTaxAdj,IF(BB202*1.12&lt;N202*60/1000,(N202*60/1000-BB202*1.12)*PropTaxAdj,0)),2),0)</f>
        <v>0</v>
      </c>
      <c r="BK202" s="116">
        <f>ROUND(IF($F202=4,0,Y202*Worksheet!$E$16),2)</f>
        <v>0.08</v>
      </c>
      <c r="BL202" s="116">
        <f>ROUND(IF($F202=4,0,Z202*Worksheet!$E$17),2)</f>
        <v>18</v>
      </c>
      <c r="BM202" s="116">
        <f>ROUND(IF($F202=4,0,AA202*Worksheet!$E$18),2)</f>
        <v>66</v>
      </c>
      <c r="BN202" s="116">
        <f>ROUND(IF($F202=4,0,AB202*Worksheet!$E$19),2)</f>
        <v>28</v>
      </c>
      <c r="BO202" s="116">
        <f>ROUND(IF($F202=4,0,AC202*Worksheet!$E$20),2)</f>
        <v>62</v>
      </c>
      <c r="BP202" s="116">
        <f>ROUND(AD202*Worksheet!$E$21,2)</f>
        <v>0</v>
      </c>
      <c r="BQ202" s="116">
        <f t="shared" si="153"/>
        <v>174.07999999999998</v>
      </c>
      <c r="BR202" s="116">
        <f>ROUND(AD202*Worksheet!$E$25,2)</f>
        <v>0</v>
      </c>
      <c r="BS202" s="116">
        <f>ROUND(SUM(BQ202)*Worksheet!$E$26,2)</f>
        <v>15.32</v>
      </c>
      <c r="BT202" s="116">
        <f>ROUND(Y202*Worksheet!$E$27,2)</f>
        <v>0.01</v>
      </c>
      <c r="BU202" s="116">
        <f>ROUND(AO202*Worksheet!$E$29,2)</f>
        <v>0</v>
      </c>
      <c r="BV202" s="116">
        <f>ROUND(AP202*Worksheet!$E$30,2)</f>
        <v>0</v>
      </c>
      <c r="BW202" s="116">
        <f>ROUND(IF($I202&lt;&gt;0,$BQ202*Worksheet!$E$28,0),2)</f>
        <v>0.35</v>
      </c>
      <c r="BX202" s="116">
        <f>ROUND(AE202*Worksheet!$E$31,2)</f>
        <v>0.35</v>
      </c>
      <c r="BY202" s="116">
        <f>ROUND(AF202*Worksheet!$E$32,2)</f>
        <v>0</v>
      </c>
      <c r="BZ202" s="116">
        <f>ROUND(AG202*Worksheet!$E$33,2)</f>
        <v>0.06</v>
      </c>
      <c r="CA202" s="116">
        <f>ROUND(ROUND(AH202*BQ202,2)*Worksheet!$E$34,2)</f>
        <v>1.05</v>
      </c>
      <c r="CB202" s="116">
        <f>ROUND(AI202*Worksheet!$E$35,2)</f>
        <v>0</v>
      </c>
      <c r="CC202" s="116">
        <f>ROUND(AJ202*Worksheet!$E$36,2)</f>
        <v>0</v>
      </c>
      <c r="CD202" s="116">
        <f>ROUND(AQ202*Worksheet!$E$38,2)</f>
        <v>0</v>
      </c>
      <c r="CE202" s="116">
        <f>ROUND(AR202*Worksheet!$E$39,2)</f>
        <v>0</v>
      </c>
      <c r="CF202" s="116">
        <f>IF(AND(L202&gt;275,SUM(Y202:AD202)&lt;100),ROUND(SUM(Y202:AD202)*Worksheet!$E$41,2),0)</f>
        <v>0</v>
      </c>
      <c r="CG202" s="116">
        <f>IF(AND(L202&gt;600,SUM(Y202:AD202)&lt;50),ROUND((50-SUM(Y202:AD202))*(Worksheet!$E$41+1),2),0)</f>
        <v>0</v>
      </c>
      <c r="CH202" s="116">
        <f t="shared" si="154"/>
        <v>191.21999999999997</v>
      </c>
      <c r="CI202" s="116">
        <f t="shared" si="178"/>
        <v>0</v>
      </c>
      <c r="CJ202" s="116">
        <f t="shared" si="179"/>
        <v>191.21999999999997</v>
      </c>
      <c r="CK202" s="95">
        <f t="shared" si="186"/>
        <v>1.34</v>
      </c>
      <c r="CL202" s="116">
        <f t="shared" si="180"/>
        <v>256.23</v>
      </c>
      <c r="CM202" s="116">
        <f t="shared" si="181"/>
        <v>256.23</v>
      </c>
      <c r="CN202" s="116">
        <f t="shared" si="176"/>
        <v>2980723.59</v>
      </c>
      <c r="CO202" s="131">
        <f>ROUND(IF(F202=4,0,(MAX(ROUND(MAX((BI202*MIN(CL202,K202)*Worksheet!$D$126)+MAX(CL202-K202,0)*Worksheet!$F$50,SUM(J202)),2),SUM(CN202))-SUM(CN202))*MinAdj),2)</f>
        <v>27194.6</v>
      </c>
      <c r="CP202" s="116">
        <f t="shared" si="177"/>
        <v>3007918.19</v>
      </c>
      <c r="CQ202" s="131">
        <f>IF(CL202=0,0,-MIN(CP202,MIN(CP202,ROUND(IF(ROUND(IF(CL202=0,0,N202/CL202),2)&lt;STVPP*0.2,STVPP*0.2*CL202*Worksheet!$F$88/1000,N202*Worksheet!$F$88/1000),2))))</f>
        <v>-1231466.1599999999</v>
      </c>
      <c r="CR202" s="131">
        <f>-MIN(SUM(CP202,CQ202),IF($P202=0,(ROUND(Worksheet!$E$77*S202,2)+ROUND(Worksheet!$E$78*T202,2)+ROUND(Worksheet!$E$79*U202,2)+ROUND(Worksheet!$E$80*V202,2)+ROUND(Worksheet!$E$81*W202,2)+ROUND(Worksheet!$E$82*X202,2)),(ROUND(ROUND(S202*ROUND((1-$O202/$P202),4),2)*Worksheet!$E$77,2)+ROUND(ROUND(T202*ROUND((1-$O202/$P202),4),2)*Worksheet!$E$78,2)+ROUND(ROUND(U202*ROUND((1-$O202/$P202),4),2)*Worksheet!$E$79,2)+ROUND(ROUND(V202*ROUND((1-$O202/$P202),4),2)*Worksheet!$E$80,2)+ROUND(ROUND(W202*ROUND((1-$O202/$P202),4),2)*Worksheet!$E$81,2)+ROUND(ROUND(X202*ROUND((1-$O202/$P202),4),2)*Worksheet!$E$82,2))))</f>
        <v>-21267.22</v>
      </c>
      <c r="CS202" s="116">
        <f t="shared" si="155"/>
        <v>1755184.81</v>
      </c>
      <c r="CT202" s="116">
        <f>ROUND(MIN(BA202,ROUND((ROUND(AS202*Worksheet!$E$104,2)+ROUND(AV202*Worksheet!$E$107,2)+ROUND(AT202*Worksheet!$E$105,2)+ROUND(AW202*Worksheet!$E$108,2)+ROUND(AU202*Worksheet!$E$106,2)+ROUND(AX202*Worksheet!$E$109,2)+ROUND(AY202*Worksheet!$E$110,2)+ROUND(AZ202*Worksheet!$E$111,2))*Worksheet!$D$114,2))*BaseRate,2)</f>
        <v>120401.55</v>
      </c>
      <c r="CU202" s="121">
        <v>0</v>
      </c>
      <c r="CV202" s="121">
        <v>0</v>
      </c>
      <c r="CW202" s="121">
        <v>0</v>
      </c>
      <c r="CX202" s="121">
        <v>0</v>
      </c>
      <c r="CY202" s="121">
        <v>0</v>
      </c>
      <c r="DA202" s="116">
        <f t="shared" si="156"/>
        <v>0</v>
      </c>
      <c r="DB202" s="116">
        <f>MAX(-CT202,MIN(0,ROUND($R202*EFBPercent+EFBAdd,2)-$Q202),MIN(0,SUM($CS202:CS202)+MIN(0,ROUND($R202*EFBPercent+EFBAdd,2)-$Q202)))</f>
        <v>0</v>
      </c>
      <c r="DC202" s="192">
        <f>IF(CU202&lt;0,0,MAX(-CU202,MIN(0,ROUND($R202*EFBPercent+EFBAdd,2)-$Q202),MIN(0,SUM($CS202:CT202)+MIN(0,ROUND($R202*EFBPercent+EFBAdd,2)-$Q202))))</f>
        <v>0</v>
      </c>
      <c r="DD202" s="192">
        <f>IF(CV202&lt;0,0,MAX(-CV202,MIN(0,ROUND($R202*EFBPercent+EFBAdd,2)-$Q202),MIN(0,SUM($CS202:CU202)+MIN(0,ROUND($R202*EFBPercent+EFBAdd,2)-$Q202))))</f>
        <v>0</v>
      </c>
      <c r="DE202" s="192">
        <f>IF(CW202&lt;0,0,MAX(-CW202,MIN(0,ROUND($R202*EFBPercent+EFBAdd,2)-$Q202),MIN(0,SUM($CS202:CV202)+MIN(0,ROUND($R202*EFBPercent+EFBAdd,2)-$Q202))))</f>
        <v>0</v>
      </c>
      <c r="DF202" s="192">
        <f>IF(CX202&lt;0,0,MAX(-CX202,MIN(0,ROUND($R202*EFBPercent+EFBAdd,2)-$Q202),MIN(0,SUM($CS202:CW202)+MIN(0,ROUND($R202*EFBPercent+EFBAdd,2)-$Q202))))</f>
        <v>0</v>
      </c>
      <c r="DG202" s="116">
        <f>MAX(-CY202,MIN(0,ROUND($R202*EFBPercent+EFBAdd,2)-$Q202),MIN(0,SUM($CS202:CX202)+MIN(0,ROUND($R202*EFBPercent+EFBAdd,2)-$Q202)))</f>
        <v>0</v>
      </c>
      <c r="DI202" s="73">
        <f t="shared" si="157"/>
        <v>1755184.81</v>
      </c>
      <c r="DJ202" s="73">
        <f t="shared" si="158"/>
        <v>120401.55</v>
      </c>
      <c r="DK202" s="73">
        <f t="shared" si="159"/>
        <v>0</v>
      </c>
      <c r="DL202" s="73">
        <f t="shared" si="160"/>
        <v>0</v>
      </c>
      <c r="DM202" s="73">
        <f t="shared" si="161"/>
        <v>0</v>
      </c>
      <c r="DN202" s="73">
        <f t="shared" si="162"/>
        <v>0</v>
      </c>
      <c r="DO202" s="73">
        <f t="shared" si="163"/>
        <v>0</v>
      </c>
      <c r="DP202" s="73"/>
      <c r="DQ202" s="73"/>
    </row>
    <row r="203" spans="1:121" ht="10.199999999999999" x14ac:dyDescent="0.2">
      <c r="A203" s="4" t="s">
        <v>653</v>
      </c>
      <c r="B203" s="72">
        <v>1060</v>
      </c>
      <c r="C203" s="13" t="s">
        <v>174</v>
      </c>
      <c r="D203" s="4">
        <v>2027</v>
      </c>
      <c r="E203" s="4" t="s">
        <v>485</v>
      </c>
      <c r="F203" s="4">
        <v>1</v>
      </c>
      <c r="G203" s="4" t="s">
        <v>1130</v>
      </c>
      <c r="H203" s="4">
        <v>100</v>
      </c>
      <c r="I203" s="4" t="s">
        <v>855</v>
      </c>
      <c r="J203" s="5">
        <v>4623685.49</v>
      </c>
      <c r="K203" s="5">
        <v>463.88</v>
      </c>
      <c r="L203" s="5">
        <v>706.71</v>
      </c>
      <c r="M203" s="5">
        <v>0</v>
      </c>
      <c r="N203" s="5">
        <v>24758320</v>
      </c>
      <c r="O203" s="5">
        <v>0</v>
      </c>
      <c r="P203" s="5">
        <v>85.11</v>
      </c>
      <c r="Q203" s="5">
        <v>0</v>
      </c>
      <c r="R203" s="5">
        <v>0</v>
      </c>
      <c r="S203" s="5">
        <v>0</v>
      </c>
      <c r="T203" s="5">
        <v>0</v>
      </c>
      <c r="U203" s="5">
        <v>0</v>
      </c>
      <c r="V203" s="5">
        <v>15816.52</v>
      </c>
      <c r="W203" s="5">
        <v>57928.07</v>
      </c>
      <c r="X203" s="5">
        <v>29394.7</v>
      </c>
      <c r="Y203" s="5">
        <v>1.17</v>
      </c>
      <c r="Z203" s="5">
        <v>26</v>
      </c>
      <c r="AA203" s="5">
        <v>158</v>
      </c>
      <c r="AB203" s="5">
        <v>74</v>
      </c>
      <c r="AC203" s="5">
        <v>121</v>
      </c>
      <c r="AD203" s="5">
        <v>0</v>
      </c>
      <c r="AE203" s="5">
        <v>0</v>
      </c>
      <c r="AF203" s="5">
        <v>0</v>
      </c>
      <c r="AG203" s="5">
        <v>0</v>
      </c>
      <c r="AH203" s="5">
        <v>0.40799999999999997</v>
      </c>
      <c r="AI203" s="5">
        <v>0</v>
      </c>
      <c r="AJ203" s="5">
        <v>0</v>
      </c>
      <c r="AK203" s="5">
        <v>0</v>
      </c>
      <c r="AL203" s="5">
        <v>373.69</v>
      </c>
      <c r="AM203" s="5">
        <v>5.0000000000011369E-2</v>
      </c>
      <c r="AN203" s="5">
        <v>379</v>
      </c>
      <c r="AO203" s="5">
        <f t="shared" si="187"/>
        <v>0</v>
      </c>
      <c r="AP203" s="5">
        <f t="shared" si="189"/>
        <v>0</v>
      </c>
      <c r="AQ203" s="5">
        <v>0</v>
      </c>
      <c r="AR203" s="5">
        <v>0.14000000000000001</v>
      </c>
      <c r="AS203" s="5">
        <v>0</v>
      </c>
      <c r="AT203" s="5">
        <v>178500</v>
      </c>
      <c r="AU203" s="5">
        <v>0</v>
      </c>
      <c r="AV203" s="5">
        <v>1400</v>
      </c>
      <c r="AW203" s="5">
        <v>706.71</v>
      </c>
      <c r="AX203" s="5">
        <v>2</v>
      </c>
      <c r="AY203" s="199">
        <v>35000</v>
      </c>
      <c r="AZ203" s="199">
        <v>2800</v>
      </c>
      <c r="BA203" s="5">
        <v>330734.65999999997</v>
      </c>
      <c r="BB203" s="13">
        <v>1454943.24</v>
      </c>
      <c r="BC203" s="101">
        <f>MAX(ROUND(IF(F203&lt;4,IF(H203=0,(SUM(Y203:AD203)*Worksheet!$E$26+Y203*Worksheet!$E$27+AR203*Worksheet!$E$39)*-BaseRate,0)),2),MIN(0,-DI203))</f>
        <v>0</v>
      </c>
      <c r="BD203" s="101">
        <f>MAX(ROUND(IF(F203=4,0,IF(I203=0,0,ROUND(SUM(Y203:AD203)*Worksheet!$E$28,2)*-BaseRate)),2),MIN(0,-DI203-BC203))</f>
        <v>-8841.08</v>
      </c>
      <c r="BE203" s="130">
        <f t="shared" si="182"/>
        <v>0</v>
      </c>
      <c r="BF203" s="130">
        <f t="shared" si="183"/>
        <v>1404</v>
      </c>
      <c r="BG203" s="73"/>
      <c r="BH203" s="118">
        <f t="shared" si="184"/>
        <v>56356</v>
      </c>
      <c r="BI203" s="118">
        <f t="shared" si="185"/>
        <v>9967.42</v>
      </c>
      <c r="BJ203" s="232">
        <f>IFERROR(ROUND(IF(AND(BB203*1.12&lt;N203*60/1000,N203/CL203&lt;STVPP*0.2),(CL203*STVPP*0.2*Worksheet!$F$88/1000-BB203*1.12)*PropTaxAdj,IF(BB203*1.12&lt;N203*60/1000,(N203*60/1000-BB203*1.12)*PropTaxAdj,0)),2),0)</f>
        <v>0</v>
      </c>
      <c r="BK203" s="116">
        <f>ROUND(IF($F203=4,0,Y203*Worksheet!$E$16),2)</f>
        <v>1.17</v>
      </c>
      <c r="BL203" s="116">
        <f>ROUND(IF($F203=4,0,Z203*Worksheet!$E$17),2)</f>
        <v>26</v>
      </c>
      <c r="BM203" s="116">
        <f>ROUND(IF($F203=4,0,AA203*Worksheet!$E$18),2)</f>
        <v>158</v>
      </c>
      <c r="BN203" s="116">
        <f>ROUND(IF($F203=4,0,AB203*Worksheet!$E$19),2)</f>
        <v>74</v>
      </c>
      <c r="BO203" s="116">
        <f>ROUND(IF($F203=4,0,AC203*Worksheet!$E$20),2)</f>
        <v>121</v>
      </c>
      <c r="BP203" s="116">
        <f>ROUND(AD203*Worksheet!$E$21,2)</f>
        <v>0</v>
      </c>
      <c r="BQ203" s="116">
        <f t="shared" si="153"/>
        <v>380.17</v>
      </c>
      <c r="BR203" s="116">
        <f>ROUND(AD203*Worksheet!$E$25,2)</f>
        <v>0</v>
      </c>
      <c r="BS203" s="116">
        <f>ROUND(SUM(BQ203)*Worksheet!$E$26,2)</f>
        <v>33.450000000000003</v>
      </c>
      <c r="BT203" s="116">
        <f>ROUND(Y203*Worksheet!$E$27,2)</f>
        <v>0.2</v>
      </c>
      <c r="BU203" s="116">
        <f>ROUND(AO203*Worksheet!$E$29,2)</f>
        <v>0</v>
      </c>
      <c r="BV203" s="116">
        <f>ROUND(AP203*Worksheet!$E$30,2)</f>
        <v>0</v>
      </c>
      <c r="BW203" s="116">
        <f>ROUND(IF($I203&lt;&gt;0,$BQ203*Worksheet!$E$28,0),2)</f>
        <v>0.76</v>
      </c>
      <c r="BX203" s="116">
        <f>ROUND(AE203*Worksheet!$E$31,2)</f>
        <v>0</v>
      </c>
      <c r="BY203" s="116">
        <f>ROUND(AF203*Worksheet!$E$32,2)</f>
        <v>0</v>
      </c>
      <c r="BZ203" s="116">
        <f>ROUND(AG203*Worksheet!$E$33,2)</f>
        <v>0</v>
      </c>
      <c r="CA203" s="116">
        <f>ROUND(ROUND(AH203*BQ203,2)*Worksheet!$E$34,2)</f>
        <v>3.88</v>
      </c>
      <c r="CB203" s="116">
        <f>ROUND(AI203*Worksheet!$E$35,2)</f>
        <v>0</v>
      </c>
      <c r="CC203" s="116">
        <f>ROUND(AJ203*Worksheet!$E$36,2)</f>
        <v>0</v>
      </c>
      <c r="CD203" s="116">
        <f>ROUND(AQ203*Worksheet!$E$38,2)</f>
        <v>0</v>
      </c>
      <c r="CE203" s="116">
        <f>ROUND(AR203*Worksheet!$E$39,2)</f>
        <v>0.14000000000000001</v>
      </c>
      <c r="CF203" s="116">
        <f>IF(AND(L203&gt;275,SUM(Y203:AD203)&lt;100),ROUND(SUM(Y203:AD203)*Worksheet!$E$41,2),0)</f>
        <v>0</v>
      </c>
      <c r="CG203" s="116">
        <f>IF(AND(L203&gt;600,SUM(Y203:AD203)&lt;50),ROUND((50-SUM(Y203:AD203))*(Worksheet!$E$41+1),2),0)</f>
        <v>0</v>
      </c>
      <c r="CH203" s="116">
        <f t="shared" si="154"/>
        <v>418.59999999999997</v>
      </c>
      <c r="CI203" s="116">
        <f t="shared" si="178"/>
        <v>0</v>
      </c>
      <c r="CJ203" s="116">
        <f t="shared" si="179"/>
        <v>418.59999999999997</v>
      </c>
      <c r="CK203" s="95">
        <f t="shared" si="186"/>
        <v>1.0495000000000001</v>
      </c>
      <c r="CL203" s="116">
        <f t="shared" si="180"/>
        <v>439.32</v>
      </c>
      <c r="CM203" s="116">
        <f t="shared" si="181"/>
        <v>439.32</v>
      </c>
      <c r="CN203" s="116">
        <f t="shared" si="176"/>
        <v>5110609.5599999996</v>
      </c>
      <c r="CO203" s="131">
        <f>ROUND(IF(F203=4,0,(MAX(ROUND(MAX((BI203*MIN(CL203,K203)*Worksheet!$D$126)+MAX(CL203-K203,0)*Worksheet!$F$50,SUM(J203)),2),SUM(CN203))-SUM(CN203))*MinAdj),2)</f>
        <v>0</v>
      </c>
      <c r="CP203" s="116">
        <f t="shared" si="177"/>
        <v>5110609.5599999996</v>
      </c>
      <c r="CQ203" s="131">
        <f>IF(CL203=0,0,-MIN(CP203,MIN(CP203,ROUND(IF(ROUND(IF(CL203=0,0,N203/CL203),2)&lt;STVPP*0.2,STVPP*0.2*CL203*Worksheet!$F$88/1000,N203*Worksheet!$F$88/1000),2))))</f>
        <v>-1485499.2</v>
      </c>
      <c r="CR203" s="131">
        <f>-MIN(SUM(CP203,CQ203),IF($P203=0,(ROUND(Worksheet!$E$77*S203,2)+ROUND(Worksheet!$E$78*T203,2)+ROUND(Worksheet!$E$79*U203,2)+ROUND(Worksheet!$E$80*V203,2)+ROUND(Worksheet!$E$81*W203,2)+ROUND(Worksheet!$E$82*X203,2)),(ROUND(ROUND(S203*ROUND((1-$O203/$P203),4),2)*Worksheet!$E$77,2)+ROUND(ROUND(T203*ROUND((1-$O203/$P203),4),2)*Worksheet!$E$78,2)+ROUND(ROUND(U203*ROUND((1-$O203/$P203),4),2)*Worksheet!$E$79,2)+ROUND(ROUND(V203*ROUND((1-$O203/$P203),4),2)*Worksheet!$E$80,2)+ROUND(ROUND(W203*ROUND((1-$O203/$P203),4),2)*Worksheet!$E$81,2)+ROUND(ROUND(X203*ROUND((1-$O203/$P203),4),2)*Worksheet!$E$82,2))))</f>
        <v>-77354.47</v>
      </c>
      <c r="CS203" s="116">
        <f t="shared" si="155"/>
        <v>3547755.8899999992</v>
      </c>
      <c r="CT203" s="116">
        <f>ROUND(MIN(BA203,ROUND((ROUND(AS203*Worksheet!$E$104,2)+ROUND(AV203*Worksheet!$E$107,2)+ROUND(AT203*Worksheet!$E$105,2)+ROUND(AW203*Worksheet!$E$108,2)+ROUND(AU203*Worksheet!$E$106,2)+ROUND(AX203*Worksheet!$E$109,2)+ROUND(AY203*Worksheet!$E$110,2)+ROUND(AZ203*Worksheet!$E$111,2))*Worksheet!$D$114,2))*BaseRate,2)</f>
        <v>245921.62</v>
      </c>
      <c r="CU203" s="121">
        <v>0</v>
      </c>
      <c r="CV203" s="121">
        <v>0</v>
      </c>
      <c r="CW203" s="121">
        <v>0</v>
      </c>
      <c r="CX203" s="121">
        <v>0</v>
      </c>
      <c r="CY203" s="121">
        <v>0</v>
      </c>
      <c r="DA203" s="116">
        <f t="shared" si="156"/>
        <v>0</v>
      </c>
      <c r="DB203" s="116">
        <f>MAX(-CT203,MIN(0,ROUND($R203*EFBPercent+EFBAdd,2)-$Q203),MIN(0,SUM($CS203:CS203)+MIN(0,ROUND($R203*EFBPercent+EFBAdd,2)-$Q203)))</f>
        <v>0</v>
      </c>
      <c r="DC203" s="192">
        <f>IF(CU203&lt;0,0,MAX(-CU203,MIN(0,ROUND($R203*EFBPercent+EFBAdd,2)-$Q203),MIN(0,SUM($CS203:CT203)+MIN(0,ROUND($R203*EFBPercent+EFBAdd,2)-$Q203))))</f>
        <v>0</v>
      </c>
      <c r="DD203" s="192">
        <f>IF(CV203&lt;0,0,MAX(-CV203,MIN(0,ROUND($R203*EFBPercent+EFBAdd,2)-$Q203),MIN(0,SUM($CS203:CU203)+MIN(0,ROUND($R203*EFBPercent+EFBAdd,2)-$Q203))))</f>
        <v>0</v>
      </c>
      <c r="DE203" s="192">
        <f>IF(CW203&lt;0,0,MAX(-CW203,MIN(0,ROUND($R203*EFBPercent+EFBAdd,2)-$Q203),MIN(0,SUM($CS203:CV203)+MIN(0,ROUND($R203*EFBPercent+EFBAdd,2)-$Q203))))</f>
        <v>0</v>
      </c>
      <c r="DF203" s="192">
        <f>IF(CX203&lt;0,0,MAX(-CX203,MIN(0,ROUND($R203*EFBPercent+EFBAdd,2)-$Q203),MIN(0,SUM($CS203:CW203)+MIN(0,ROUND($R203*EFBPercent+EFBAdd,2)-$Q203))))</f>
        <v>0</v>
      </c>
      <c r="DG203" s="116">
        <f>MAX(-CY203,MIN(0,ROUND($R203*EFBPercent+EFBAdd,2)-$Q203),MIN(0,SUM($CS203:CX203)+MIN(0,ROUND($R203*EFBPercent+EFBAdd,2)-$Q203)))</f>
        <v>0</v>
      </c>
      <c r="DI203" s="73">
        <f t="shared" si="157"/>
        <v>3547755.8899999992</v>
      </c>
      <c r="DJ203" s="73">
        <f t="shared" si="158"/>
        <v>245921.62</v>
      </c>
      <c r="DK203" s="73">
        <f t="shared" si="159"/>
        <v>0</v>
      </c>
      <c r="DL203" s="73">
        <f t="shared" si="160"/>
        <v>0</v>
      </c>
      <c r="DM203" s="73">
        <f t="shared" si="161"/>
        <v>0</v>
      </c>
      <c r="DN203" s="73">
        <f t="shared" si="162"/>
        <v>0</v>
      </c>
      <c r="DO203" s="73">
        <f t="shared" si="163"/>
        <v>0</v>
      </c>
      <c r="DP203" s="73"/>
      <c r="DQ203" s="73"/>
    </row>
    <row r="204" spans="1:121" ht="10.199999999999999" x14ac:dyDescent="0.2">
      <c r="A204" s="4" t="s">
        <v>654</v>
      </c>
      <c r="B204" s="72">
        <v>1116</v>
      </c>
      <c r="C204" s="13" t="s">
        <v>175</v>
      </c>
      <c r="D204" s="4">
        <v>2027</v>
      </c>
      <c r="E204" s="4" t="s">
        <v>486</v>
      </c>
      <c r="F204" s="4">
        <v>1</v>
      </c>
      <c r="G204" s="4" t="s">
        <v>686</v>
      </c>
      <c r="H204" s="4">
        <v>100</v>
      </c>
      <c r="I204" s="4" t="s">
        <v>1152</v>
      </c>
      <c r="J204" s="5">
        <v>3815861.14</v>
      </c>
      <c r="K204" s="5">
        <v>395.59</v>
      </c>
      <c r="L204" s="5">
        <v>567.73</v>
      </c>
      <c r="M204" s="5">
        <v>0</v>
      </c>
      <c r="N204" s="5">
        <v>65419272</v>
      </c>
      <c r="O204" s="5">
        <v>19.899999999999999</v>
      </c>
      <c r="P204" s="5">
        <v>93.199999999999989</v>
      </c>
      <c r="Q204" s="5">
        <v>0</v>
      </c>
      <c r="R204" s="5">
        <v>0</v>
      </c>
      <c r="S204" s="5">
        <v>0</v>
      </c>
      <c r="T204" s="5">
        <v>1049376.06</v>
      </c>
      <c r="U204" s="5">
        <v>0</v>
      </c>
      <c r="V204" s="5">
        <v>932496.0199999999</v>
      </c>
      <c r="W204" s="5">
        <v>1858.47</v>
      </c>
      <c r="X204" s="5">
        <v>11764.449999999999</v>
      </c>
      <c r="Y204" s="5">
        <v>1.99</v>
      </c>
      <c r="Z204" s="5">
        <v>27</v>
      </c>
      <c r="AA204" s="5">
        <v>215</v>
      </c>
      <c r="AB204" s="5">
        <v>71</v>
      </c>
      <c r="AC204" s="5">
        <v>131</v>
      </c>
      <c r="AD204" s="5">
        <v>0</v>
      </c>
      <c r="AE204" s="5">
        <v>0</v>
      </c>
      <c r="AF204" s="5">
        <v>0</v>
      </c>
      <c r="AG204" s="5">
        <v>0</v>
      </c>
      <c r="AH204" s="5">
        <v>0.217</v>
      </c>
      <c r="AI204" s="5">
        <v>0</v>
      </c>
      <c r="AJ204" s="5">
        <v>0</v>
      </c>
      <c r="AK204" s="5">
        <v>0</v>
      </c>
      <c r="AL204" s="5">
        <v>445.42</v>
      </c>
      <c r="AM204" s="5">
        <v>8.6700000000000159</v>
      </c>
      <c r="AN204" s="5">
        <v>444</v>
      </c>
      <c r="AO204" s="5">
        <f t="shared" si="187"/>
        <v>1.4200000000000159</v>
      </c>
      <c r="AP204" s="5">
        <f t="shared" si="189"/>
        <v>0</v>
      </c>
      <c r="AQ204" s="5">
        <v>3.81</v>
      </c>
      <c r="AR204" s="5">
        <v>0</v>
      </c>
      <c r="AS204" s="5">
        <v>0</v>
      </c>
      <c r="AT204" s="5">
        <v>110028</v>
      </c>
      <c r="AU204" s="5">
        <v>0</v>
      </c>
      <c r="AV204" s="5">
        <v>2422</v>
      </c>
      <c r="AW204" s="5">
        <v>567.73</v>
      </c>
      <c r="AX204" s="5">
        <v>1</v>
      </c>
      <c r="AY204" s="199">
        <v>0</v>
      </c>
      <c r="AZ204" s="199">
        <v>0</v>
      </c>
      <c r="BA204" s="5">
        <v>825792.35</v>
      </c>
      <c r="BB204" s="13">
        <v>3683672.88</v>
      </c>
      <c r="BC204" s="101">
        <f>MAX(ROUND(IF(F204&lt;4,IF(H204=0,(SUM(Y204:AD204)*Worksheet!$E$26+Y204*Worksheet!$E$27+AR204*Worksheet!$E$39)*-BaseRate,0)),2),MIN(0,-DI204))</f>
        <v>0</v>
      </c>
      <c r="BD204" s="101">
        <f>MAX(ROUND(IF(F204=4,0,IF(I204=0,0,ROUND(SUM(Y204:AD204)*Worksheet!$E$28,2)*-BaseRate)),2),MIN(0,-DI204-BC204))</f>
        <v>-10353.370000000001</v>
      </c>
      <c r="BE204" s="130">
        <f t="shared" si="182"/>
        <v>0</v>
      </c>
      <c r="BF204" s="130">
        <f t="shared" si="183"/>
        <v>1412</v>
      </c>
      <c r="BG204" s="73"/>
      <c r="BH204" s="118">
        <f t="shared" si="184"/>
        <v>130200.56</v>
      </c>
      <c r="BI204" s="118">
        <f t="shared" si="185"/>
        <v>9646</v>
      </c>
      <c r="BJ204" s="232">
        <f>IFERROR(ROUND(IF(AND(BB204*1.12&lt;N204*60/1000,N204/CL204&lt;STVPP*0.2),(CL204*STVPP*0.2*Worksheet!$F$88/1000-BB204*1.12)*PropTaxAdj,IF(BB204*1.12&lt;N204*60/1000,(N204*60/1000-BB204*1.12)*PropTaxAdj,0)),2),0)</f>
        <v>0</v>
      </c>
      <c r="BK204" s="116">
        <f>ROUND(IF($F204=4,0,Y204*Worksheet!$E$16),2)</f>
        <v>1.99</v>
      </c>
      <c r="BL204" s="116">
        <f>ROUND(IF($F204=4,0,Z204*Worksheet!$E$17),2)</f>
        <v>27</v>
      </c>
      <c r="BM204" s="116">
        <f>ROUND(IF($F204=4,0,AA204*Worksheet!$E$18),2)</f>
        <v>215</v>
      </c>
      <c r="BN204" s="116">
        <f>ROUND(IF($F204=4,0,AB204*Worksheet!$E$19),2)</f>
        <v>71</v>
      </c>
      <c r="BO204" s="116">
        <f>ROUND(IF($F204=4,0,AC204*Worksheet!$E$20),2)</f>
        <v>131</v>
      </c>
      <c r="BP204" s="116">
        <f>ROUND(AD204*Worksheet!$E$21,2)</f>
        <v>0</v>
      </c>
      <c r="BQ204" s="116">
        <f t="shared" si="153"/>
        <v>445.99</v>
      </c>
      <c r="BR204" s="116">
        <f>ROUND(AD204*Worksheet!$E$25,2)</f>
        <v>0</v>
      </c>
      <c r="BS204" s="116">
        <f>ROUND(SUM(BQ204)*Worksheet!$E$26,2)</f>
        <v>39.25</v>
      </c>
      <c r="BT204" s="116">
        <f>ROUND(Y204*Worksheet!$E$27,2)</f>
        <v>0.34</v>
      </c>
      <c r="BU204" s="116">
        <f>ROUND(AO204*Worksheet!$E$29,2)</f>
        <v>1.42</v>
      </c>
      <c r="BV204" s="116">
        <f>ROUND(AP204*Worksheet!$E$30,2)</f>
        <v>0</v>
      </c>
      <c r="BW204" s="116">
        <f>ROUND(IF($I204&lt;&gt;0,$BQ204*Worksheet!$E$28,0),2)</f>
        <v>0.89</v>
      </c>
      <c r="BX204" s="116">
        <f>ROUND(AE204*Worksheet!$E$31,2)</f>
        <v>0</v>
      </c>
      <c r="BY204" s="116">
        <f>ROUND(AF204*Worksheet!$E$32,2)</f>
        <v>0</v>
      </c>
      <c r="BZ204" s="116">
        <f>ROUND(AG204*Worksheet!$E$33,2)</f>
        <v>0</v>
      </c>
      <c r="CA204" s="116">
        <f>ROUND(ROUND(AH204*BQ204,2)*Worksheet!$E$34,2)</f>
        <v>2.42</v>
      </c>
      <c r="CB204" s="116">
        <f>ROUND(AI204*Worksheet!$E$35,2)</f>
        <v>0</v>
      </c>
      <c r="CC204" s="116">
        <f>ROUND(AJ204*Worksheet!$E$36,2)</f>
        <v>0</v>
      </c>
      <c r="CD204" s="116">
        <f>ROUND(AQ204*Worksheet!$E$38,2)</f>
        <v>2.29</v>
      </c>
      <c r="CE204" s="116">
        <f>ROUND(AR204*Worksheet!$E$39,2)</f>
        <v>0</v>
      </c>
      <c r="CF204" s="116">
        <f>IF(AND(L204&gt;275,SUM(Y204:AD204)&lt;100),ROUND(SUM(Y204:AD204)*Worksheet!$E$41,2),0)</f>
        <v>0</v>
      </c>
      <c r="CG204" s="116">
        <f>IF(AND(L204&gt;600,SUM(Y204:AD204)&lt;50),ROUND((50-SUM(Y204:AD204))*(Worksheet!$E$41+1),2),0)</f>
        <v>0</v>
      </c>
      <c r="CH204" s="116">
        <f t="shared" si="154"/>
        <v>492.6</v>
      </c>
      <c r="CI204" s="116">
        <f t="shared" si="178"/>
        <v>0</v>
      </c>
      <c r="CJ204" s="116">
        <f t="shared" si="179"/>
        <v>492.6</v>
      </c>
      <c r="CK204" s="95">
        <f t="shared" si="186"/>
        <v>1.02</v>
      </c>
      <c r="CL204" s="116">
        <f t="shared" si="180"/>
        <v>502.45</v>
      </c>
      <c r="CM204" s="116">
        <f t="shared" si="181"/>
        <v>502.45</v>
      </c>
      <c r="CN204" s="116">
        <f t="shared" si="176"/>
        <v>5845000.8499999996</v>
      </c>
      <c r="CO204" s="131">
        <f>ROUND(IF(F204=4,0,(MAX(ROUND(MAX((BI204*MIN(CL204,K204)*Worksheet!$D$126)+MAX(CL204-K204,0)*Worksheet!$F$50,SUM(J204)),2),SUM(CN204))-SUM(CN204))*MinAdj),2)</f>
        <v>0</v>
      </c>
      <c r="CP204" s="116">
        <f t="shared" si="177"/>
        <v>5845000.8499999996</v>
      </c>
      <c r="CQ204" s="131">
        <f>IF(CL204=0,0,-MIN(CP204,MIN(CP204,ROUND(IF(ROUND(IF(CL204=0,0,N204/CL204),2)&lt;STVPP*0.2,STVPP*0.2*CL204*Worksheet!$F$88/1000,N204*Worksheet!$F$88/1000),2))))</f>
        <v>-3925156.32</v>
      </c>
      <c r="CR204" s="131">
        <f>-MIN(SUM(CP204,CQ204),IF($P204=0,(ROUND(Worksheet!$E$77*S204,2)+ROUND(Worksheet!$E$78*T204,2)+ROUND(Worksheet!$E$79*U204,2)+ROUND(Worksheet!$E$80*V204,2)+ROUND(Worksheet!$E$81*W204,2)+ROUND(Worksheet!$E$82*X204,2)),(ROUND(ROUND(S204*ROUND((1-$O204/$P204),4),2)*Worksheet!$E$77,2)+ROUND(ROUND(T204*ROUND((1-$O204/$P204),4),2)*Worksheet!$E$78,2)+ROUND(ROUND(U204*ROUND((1-$O204/$P204),4),2)*Worksheet!$E$79,2)+ROUND(ROUND(V204*ROUND((1-$O204/$P204),4),2)*Worksheet!$E$80,2)+ROUND(ROUND(W204*ROUND((1-$O204/$P204),4),2)*Worksheet!$E$81,2)+ROUND(ROUND(X204*ROUND((1-$O204/$P204),4),2)*Worksheet!$E$82,2))))</f>
        <v>-1177092.6200000001</v>
      </c>
      <c r="CS204" s="116">
        <f t="shared" si="155"/>
        <v>742751.90999999968</v>
      </c>
      <c r="CT204" s="116">
        <f>ROUND(MIN(BA204,ROUND((ROUND(AS204*Worksheet!$E$104,2)+ROUND(AV204*Worksheet!$E$107,2)+ROUND(AT204*Worksheet!$E$105,2)+ROUND(AW204*Worksheet!$E$108,2)+ROUND(AU204*Worksheet!$E$106,2)+ROUND(AX204*Worksheet!$E$109,2)+ROUND(AY204*Worksheet!$E$110,2)+ROUND(AZ204*Worksheet!$E$111,2))*Worksheet!$D$114,2))*BaseRate,2)</f>
        <v>163094.66</v>
      </c>
      <c r="CU204" s="121">
        <v>0</v>
      </c>
      <c r="CV204" s="121">
        <v>0</v>
      </c>
      <c r="CW204" s="121">
        <v>0</v>
      </c>
      <c r="CX204" s="121">
        <v>0</v>
      </c>
      <c r="CY204" s="121">
        <v>0</v>
      </c>
      <c r="DA204" s="116">
        <f t="shared" si="156"/>
        <v>0</v>
      </c>
      <c r="DB204" s="116">
        <f>MAX(-CT204,MIN(0,ROUND($R204*EFBPercent+EFBAdd,2)-$Q204),MIN(0,SUM($CS204:CS204)+MIN(0,ROUND($R204*EFBPercent+EFBAdd,2)-$Q204)))</f>
        <v>0</v>
      </c>
      <c r="DC204" s="192">
        <f>IF(CU204&lt;0,0,MAX(-CU204,MIN(0,ROUND($R204*EFBPercent+EFBAdd,2)-$Q204),MIN(0,SUM($CS204:CT204)+MIN(0,ROUND($R204*EFBPercent+EFBAdd,2)-$Q204))))</f>
        <v>0</v>
      </c>
      <c r="DD204" s="192">
        <f>IF(CV204&lt;0,0,MAX(-CV204,MIN(0,ROUND($R204*EFBPercent+EFBAdd,2)-$Q204),MIN(0,SUM($CS204:CU204)+MIN(0,ROUND($R204*EFBPercent+EFBAdd,2)-$Q204))))</f>
        <v>0</v>
      </c>
      <c r="DE204" s="192">
        <f>IF(CW204&lt;0,0,MAX(-CW204,MIN(0,ROUND($R204*EFBPercent+EFBAdd,2)-$Q204),MIN(0,SUM($CS204:CV204)+MIN(0,ROUND($R204*EFBPercent+EFBAdd,2)-$Q204))))</f>
        <v>0</v>
      </c>
      <c r="DF204" s="192">
        <f>IF(CX204&lt;0,0,MAX(-CX204,MIN(0,ROUND($R204*EFBPercent+EFBAdd,2)-$Q204),MIN(0,SUM($CS204:CW204)+MIN(0,ROUND($R204*EFBPercent+EFBAdd,2)-$Q204))))</f>
        <v>0</v>
      </c>
      <c r="DG204" s="116">
        <f>MAX(-CY204,MIN(0,ROUND($R204*EFBPercent+EFBAdd,2)-$Q204),MIN(0,SUM($CS204:CX204)+MIN(0,ROUND($R204*EFBPercent+EFBAdd,2)-$Q204)))</f>
        <v>0</v>
      </c>
      <c r="DI204" s="73">
        <f t="shared" si="157"/>
        <v>742751.90999999968</v>
      </c>
      <c r="DJ204" s="73">
        <f t="shared" si="158"/>
        <v>163094.66</v>
      </c>
      <c r="DK204" s="73">
        <f t="shared" si="159"/>
        <v>0</v>
      </c>
      <c r="DL204" s="73">
        <f t="shared" si="160"/>
        <v>0</v>
      </c>
      <c r="DM204" s="73">
        <f t="shared" si="161"/>
        <v>0</v>
      </c>
      <c r="DN204" s="73">
        <f t="shared" si="162"/>
        <v>0</v>
      </c>
      <c r="DO204" s="73">
        <f t="shared" si="163"/>
        <v>0</v>
      </c>
      <c r="DP204" s="73"/>
      <c r="DQ204" s="73"/>
    </row>
    <row r="205" spans="1:121" ht="10.199999999999999" x14ac:dyDescent="0.2">
      <c r="A205" s="4" t="s">
        <v>655</v>
      </c>
      <c r="B205" s="72">
        <v>1033</v>
      </c>
      <c r="C205" s="13" t="s">
        <v>1087</v>
      </c>
      <c r="D205" s="4">
        <v>2027</v>
      </c>
      <c r="E205" s="4" t="s">
        <v>487</v>
      </c>
      <c r="F205" s="4">
        <v>1</v>
      </c>
      <c r="G205" s="4" t="s">
        <v>686</v>
      </c>
      <c r="H205" s="4">
        <v>100</v>
      </c>
      <c r="I205" s="4" t="s">
        <v>1152</v>
      </c>
      <c r="J205" s="5">
        <v>3511433.38</v>
      </c>
      <c r="K205" s="5">
        <v>364.03</v>
      </c>
      <c r="L205" s="5">
        <v>86.72</v>
      </c>
      <c r="M205" s="5">
        <v>0</v>
      </c>
      <c r="N205" s="5">
        <v>11667942</v>
      </c>
      <c r="O205" s="5">
        <v>51.74</v>
      </c>
      <c r="P205" s="5">
        <v>145.94</v>
      </c>
      <c r="Q205" s="5">
        <v>0</v>
      </c>
      <c r="R205" s="5">
        <v>0</v>
      </c>
      <c r="S205" s="5">
        <v>0</v>
      </c>
      <c r="T205" s="5">
        <v>781259.44</v>
      </c>
      <c r="U205" s="5">
        <v>10317.56</v>
      </c>
      <c r="V205" s="5">
        <v>41388.35</v>
      </c>
      <c r="W205" s="5">
        <v>4081.67</v>
      </c>
      <c r="X205" s="5">
        <v>6348.55</v>
      </c>
      <c r="Y205" s="5">
        <v>1.03</v>
      </c>
      <c r="Z205" s="5">
        <v>22</v>
      </c>
      <c r="AA205" s="5">
        <v>128</v>
      </c>
      <c r="AB205" s="5">
        <v>68</v>
      </c>
      <c r="AC205" s="5">
        <v>106</v>
      </c>
      <c r="AD205" s="5">
        <v>0</v>
      </c>
      <c r="AE205" s="5">
        <v>0</v>
      </c>
      <c r="AF205" s="5">
        <v>2</v>
      </c>
      <c r="AG205" s="5">
        <v>0</v>
      </c>
      <c r="AH205" s="5">
        <v>0.40100000000000002</v>
      </c>
      <c r="AI205" s="5">
        <v>0</v>
      </c>
      <c r="AJ205" s="5">
        <v>0</v>
      </c>
      <c r="AK205" s="5">
        <v>0</v>
      </c>
      <c r="AL205" s="5">
        <v>324.08999999999997</v>
      </c>
      <c r="AM205" s="5">
        <v>2.5199999999999818</v>
      </c>
      <c r="AN205" s="5">
        <v>324</v>
      </c>
      <c r="AO205" s="5">
        <f t="shared" si="187"/>
        <v>8.9999999999974989E-2</v>
      </c>
      <c r="AP205" s="5">
        <f t="shared" si="189"/>
        <v>0</v>
      </c>
      <c r="AQ205" s="5">
        <v>0</v>
      </c>
      <c r="AR205" s="5">
        <v>0</v>
      </c>
      <c r="AS205" s="5">
        <v>0</v>
      </c>
      <c r="AT205" s="5">
        <v>36406</v>
      </c>
      <c r="AU205" s="5">
        <v>0</v>
      </c>
      <c r="AV205" s="5">
        <v>2149</v>
      </c>
      <c r="AW205" s="5">
        <v>86.72</v>
      </c>
      <c r="AX205" s="5">
        <v>1</v>
      </c>
      <c r="AY205" s="199">
        <v>0</v>
      </c>
      <c r="AZ205" s="199">
        <v>0</v>
      </c>
      <c r="BA205" s="5">
        <v>196147.13</v>
      </c>
      <c r="BB205" s="13">
        <v>695738.82</v>
      </c>
      <c r="BC205" s="101">
        <f>MAX(ROUND(IF(F205&lt;4,IF(H205=0,(SUM(Y205:AD205)*Worksheet!$E$26+Y205*Worksheet!$E$27+AR205*Worksheet!$E$39)*-BaseRate,0)),2),MIN(0,-DI205))</f>
        <v>0</v>
      </c>
      <c r="BD205" s="101">
        <f>MAX(ROUND(IF(F205=4,0,IF(I205=0,0,ROUND(SUM(Y205:AD205)*Worksheet!$E$28,2)*-BaseRate)),2),MIN(0,-DI205-BC205))</f>
        <v>-7561.45</v>
      </c>
      <c r="BE205" s="130">
        <f t="shared" si="182"/>
        <v>0</v>
      </c>
      <c r="BF205" s="130">
        <f t="shared" si="183"/>
        <v>1412</v>
      </c>
      <c r="BG205" s="73"/>
      <c r="BH205" s="118">
        <f t="shared" si="184"/>
        <v>29870.31</v>
      </c>
      <c r="BI205" s="118">
        <f t="shared" si="185"/>
        <v>9646</v>
      </c>
      <c r="BJ205" s="232">
        <f>IFERROR(ROUND(IF(AND(BB205*1.12&lt;N205*60/1000,N205/CL205&lt;STVPP*0.2),(CL205*STVPP*0.2*Worksheet!$F$88/1000-BB205*1.12)*PropTaxAdj,IF(BB205*1.12&lt;N205*60/1000,(N205*60/1000-BB205*1.12)*PropTaxAdj,0)),2),0)</f>
        <v>0</v>
      </c>
      <c r="BK205" s="116">
        <f>ROUND(IF($F205=4,0,Y205*Worksheet!$E$16),2)</f>
        <v>1.03</v>
      </c>
      <c r="BL205" s="116">
        <f>ROUND(IF($F205=4,0,Z205*Worksheet!$E$17),2)</f>
        <v>22</v>
      </c>
      <c r="BM205" s="116">
        <f>ROUND(IF($F205=4,0,AA205*Worksheet!$E$18),2)</f>
        <v>128</v>
      </c>
      <c r="BN205" s="116">
        <f>ROUND(IF($F205=4,0,AB205*Worksheet!$E$19),2)</f>
        <v>68</v>
      </c>
      <c r="BO205" s="116">
        <f>ROUND(IF($F205=4,0,AC205*Worksheet!$E$20),2)</f>
        <v>106</v>
      </c>
      <c r="BP205" s="116">
        <f>ROUND(AD205*Worksheet!$E$21,2)</f>
        <v>0</v>
      </c>
      <c r="BQ205" s="116">
        <f t="shared" si="153"/>
        <v>325.02999999999997</v>
      </c>
      <c r="BR205" s="116">
        <f>ROUND(AD205*Worksheet!$E$25,2)</f>
        <v>0</v>
      </c>
      <c r="BS205" s="116">
        <f>ROUND(SUM(BQ205)*Worksheet!$E$26,2)</f>
        <v>28.6</v>
      </c>
      <c r="BT205" s="116">
        <f>ROUND(Y205*Worksheet!$E$27,2)</f>
        <v>0.18</v>
      </c>
      <c r="BU205" s="116">
        <f>ROUND(AO205*Worksheet!$E$29,2)</f>
        <v>0.09</v>
      </c>
      <c r="BV205" s="116">
        <f>ROUND(AP205*Worksheet!$E$30,2)</f>
        <v>0</v>
      </c>
      <c r="BW205" s="116">
        <f>ROUND(IF($I205&lt;&gt;0,$BQ205*Worksheet!$E$28,0),2)</f>
        <v>0.65</v>
      </c>
      <c r="BX205" s="116">
        <f>ROUND(AE205*Worksheet!$E$31,2)</f>
        <v>0</v>
      </c>
      <c r="BY205" s="116">
        <f>ROUND(AF205*Worksheet!$E$32,2)</f>
        <v>0.56000000000000005</v>
      </c>
      <c r="BZ205" s="116">
        <f>ROUND(AG205*Worksheet!$E$33,2)</f>
        <v>0</v>
      </c>
      <c r="CA205" s="116">
        <f>ROUND(ROUND(AH205*BQ205,2)*Worksheet!$E$34,2)</f>
        <v>3.26</v>
      </c>
      <c r="CB205" s="116">
        <f>ROUND(AI205*Worksheet!$E$35,2)</f>
        <v>0</v>
      </c>
      <c r="CC205" s="116">
        <f>ROUND(AJ205*Worksheet!$E$36,2)</f>
        <v>0</v>
      </c>
      <c r="CD205" s="116">
        <f>ROUND(AQ205*Worksheet!$E$38,2)</f>
        <v>0</v>
      </c>
      <c r="CE205" s="116">
        <f>ROUND(AR205*Worksheet!$E$39,2)</f>
        <v>0</v>
      </c>
      <c r="CF205" s="116">
        <f>IF(AND(L205&gt;275,SUM(Y205:AD205)&lt;100),ROUND(SUM(Y205:AD205)*Worksheet!$E$41,2),0)</f>
        <v>0</v>
      </c>
      <c r="CG205" s="116">
        <f>IF(AND(L205&gt;600,SUM(Y205:AD205)&lt;50),ROUND((50-SUM(Y205:AD205))*(Worksheet!$E$41+1),2),0)</f>
        <v>0</v>
      </c>
      <c r="CH205" s="116">
        <f t="shared" si="154"/>
        <v>358.36999999999995</v>
      </c>
      <c r="CI205" s="116">
        <f t="shared" si="178"/>
        <v>0</v>
      </c>
      <c r="CJ205" s="116">
        <f t="shared" si="179"/>
        <v>358.36999999999995</v>
      </c>
      <c r="CK205" s="95">
        <f t="shared" si="186"/>
        <v>1.0900000000000001</v>
      </c>
      <c r="CL205" s="116">
        <f t="shared" si="180"/>
        <v>390.62</v>
      </c>
      <c r="CM205" s="116">
        <f t="shared" si="181"/>
        <v>390.62</v>
      </c>
      <c r="CN205" s="116">
        <f t="shared" si="176"/>
        <v>4544082.46</v>
      </c>
      <c r="CO205" s="131">
        <f>ROUND(IF(F205=4,0,(MAX(ROUND(MAX((BI205*MIN(CL205,K205)*Worksheet!$D$126)+MAX(CL205-K205,0)*Worksheet!$F$50,SUM(J205)),2),SUM(CN205))-SUM(CN205))*MinAdj),2)</f>
        <v>0</v>
      </c>
      <c r="CP205" s="116">
        <f t="shared" si="177"/>
        <v>4544082.46</v>
      </c>
      <c r="CQ205" s="131">
        <f>IF(CL205=0,0,-MIN(CP205,MIN(CP205,ROUND(IF(ROUND(IF(CL205=0,0,N205/CL205),2)&lt;STVPP*0.2,STVPP*0.2*CL205*Worksheet!$F$88/1000,N205*Worksheet!$F$88/1000),2))))</f>
        <v>-700076.52</v>
      </c>
      <c r="CR205" s="131">
        <f>-MIN(SUM(CP205,CQ205),IF($P205=0,(ROUND(Worksheet!$E$77*S205,2)+ROUND(Worksheet!$E$78*T205,2)+ROUND(Worksheet!$E$79*U205,2)+ROUND(Worksheet!$E$80*V205,2)+ROUND(Worksheet!$E$81*W205,2)+ROUND(Worksheet!$E$82*X205,2)),(ROUND(ROUND(S205*ROUND((1-$O205/$P205),4),2)*Worksheet!$E$77,2)+ROUND(ROUND(T205*ROUND((1-$O205/$P205),4),2)*Worksheet!$E$78,2)+ROUND(ROUND(U205*ROUND((1-$O205/$P205),4),2)*Worksheet!$E$79,2)+ROUND(ROUND(V205*ROUND((1-$O205/$P205),4),2)*Worksheet!$E$80,2)+ROUND(ROUND(W205*ROUND((1-$O205/$P205),4),2)*Worksheet!$E$81,2)+ROUND(ROUND(X205*ROUND((1-$O205/$P205),4),2)*Worksheet!$E$82,2))))</f>
        <v>-408308.88999999996</v>
      </c>
      <c r="CS205" s="116">
        <f t="shared" si="155"/>
        <v>3435697.05</v>
      </c>
      <c r="CT205" s="116">
        <f>ROUND(MIN(BA205,ROUND((ROUND(AS205*Worksheet!$E$104,2)+ROUND(AV205*Worksheet!$E$107,2)+ROUND(AT205*Worksheet!$E$105,2)+ROUND(AW205*Worksheet!$E$108,2)+ROUND(AU205*Worksheet!$E$106,2)+ROUND(AX205*Worksheet!$E$109,2)+ROUND(AY205*Worksheet!$E$110,2)+ROUND(AZ205*Worksheet!$E$111,2))*Worksheet!$D$114,2))*BaseRate,2)</f>
        <v>68402.039999999994</v>
      </c>
      <c r="CU205" s="121">
        <v>0</v>
      </c>
      <c r="CV205" s="121">
        <v>0</v>
      </c>
      <c r="CW205" s="121">
        <v>0</v>
      </c>
      <c r="CX205" s="121">
        <v>0</v>
      </c>
      <c r="CY205" s="121">
        <v>0</v>
      </c>
      <c r="DA205" s="116">
        <f t="shared" si="156"/>
        <v>0</v>
      </c>
      <c r="DB205" s="116">
        <f>MAX(-CT205,MIN(0,ROUND($R205*EFBPercent+EFBAdd,2)-$Q205),MIN(0,SUM($CS205:CS205)+MIN(0,ROUND($R205*EFBPercent+EFBAdd,2)-$Q205)))</f>
        <v>0</v>
      </c>
      <c r="DC205" s="192">
        <f>IF(CU205&lt;0,0,MAX(-CU205,MIN(0,ROUND($R205*EFBPercent+EFBAdd,2)-$Q205),MIN(0,SUM($CS205:CT205)+MIN(0,ROUND($R205*EFBPercent+EFBAdd,2)-$Q205))))</f>
        <v>0</v>
      </c>
      <c r="DD205" s="192">
        <f>IF(CV205&lt;0,0,MAX(-CV205,MIN(0,ROUND($R205*EFBPercent+EFBAdd,2)-$Q205),MIN(0,SUM($CS205:CU205)+MIN(0,ROUND($R205*EFBPercent+EFBAdd,2)-$Q205))))</f>
        <v>0</v>
      </c>
      <c r="DE205" s="192">
        <f>IF(CW205&lt;0,0,MAX(-CW205,MIN(0,ROUND($R205*EFBPercent+EFBAdd,2)-$Q205),MIN(0,SUM($CS205:CV205)+MIN(0,ROUND($R205*EFBPercent+EFBAdd,2)-$Q205))))</f>
        <v>0</v>
      </c>
      <c r="DF205" s="192">
        <f>IF(CX205&lt;0,0,MAX(-CX205,MIN(0,ROUND($R205*EFBPercent+EFBAdd,2)-$Q205),MIN(0,SUM($CS205:CW205)+MIN(0,ROUND($R205*EFBPercent+EFBAdd,2)-$Q205))))</f>
        <v>0</v>
      </c>
      <c r="DG205" s="116">
        <f>MAX(-CY205,MIN(0,ROUND($R205*EFBPercent+EFBAdd,2)-$Q205),MIN(0,SUM($CS205:CX205)+MIN(0,ROUND($R205*EFBPercent+EFBAdd,2)-$Q205)))</f>
        <v>0</v>
      </c>
      <c r="DI205" s="73">
        <f t="shared" si="157"/>
        <v>3435697.05</v>
      </c>
      <c r="DJ205" s="73">
        <f t="shared" si="158"/>
        <v>68402.039999999994</v>
      </c>
      <c r="DK205" s="73">
        <f t="shared" si="159"/>
        <v>0</v>
      </c>
      <c r="DL205" s="73">
        <f t="shared" si="160"/>
        <v>0</v>
      </c>
      <c r="DM205" s="73">
        <f t="shared" si="161"/>
        <v>0</v>
      </c>
      <c r="DN205" s="73">
        <f t="shared" si="162"/>
        <v>0</v>
      </c>
      <c r="DO205" s="73">
        <f t="shared" si="163"/>
        <v>0</v>
      </c>
      <c r="DP205" s="73"/>
      <c r="DQ205" s="73"/>
    </row>
    <row r="206" spans="1:121" ht="10.199999999999999" x14ac:dyDescent="0.2">
      <c r="A206" s="4" t="s">
        <v>1121</v>
      </c>
      <c r="B206" s="72">
        <v>1184</v>
      </c>
      <c r="C206" s="5" t="s">
        <v>1126</v>
      </c>
      <c r="D206" s="4">
        <v>2027</v>
      </c>
      <c r="E206" s="4" t="s">
        <v>1122</v>
      </c>
      <c r="F206" s="4">
        <v>1</v>
      </c>
      <c r="G206" s="4" t="s">
        <v>686</v>
      </c>
      <c r="H206" s="4">
        <v>100</v>
      </c>
      <c r="I206" s="4" t="s">
        <v>1152</v>
      </c>
      <c r="J206" s="5">
        <v>52799875.129999995</v>
      </c>
      <c r="K206" s="5">
        <v>5044.2000000000007</v>
      </c>
      <c r="L206" s="5">
        <v>693.23</v>
      </c>
      <c r="M206" s="5">
        <v>3</v>
      </c>
      <c r="N206" s="5">
        <v>286560171</v>
      </c>
      <c r="O206" s="5">
        <v>18.78</v>
      </c>
      <c r="P206" s="5">
        <v>113.89</v>
      </c>
      <c r="Q206" s="5">
        <v>0</v>
      </c>
      <c r="R206" s="5">
        <v>0</v>
      </c>
      <c r="S206" s="5">
        <v>0</v>
      </c>
      <c r="T206" s="5">
        <v>5101052.9499999993</v>
      </c>
      <c r="U206" s="5">
        <v>4974.53</v>
      </c>
      <c r="V206" s="5">
        <v>1712812</v>
      </c>
      <c r="W206" s="5">
        <v>23220.640000000003</v>
      </c>
      <c r="X206" s="5">
        <v>105103.94</v>
      </c>
      <c r="Y206" s="5">
        <v>50.05</v>
      </c>
      <c r="Z206" s="5">
        <v>470</v>
      </c>
      <c r="AA206" s="5">
        <v>2785</v>
      </c>
      <c r="AB206" s="5">
        <v>860</v>
      </c>
      <c r="AC206" s="5">
        <v>1443.43</v>
      </c>
      <c r="AD206" s="5">
        <v>25.57</v>
      </c>
      <c r="AE206" s="5">
        <v>98.090000000000018</v>
      </c>
      <c r="AF206" s="5">
        <v>113.34999999999998</v>
      </c>
      <c r="AG206" s="5">
        <v>174.67999999999998</v>
      </c>
      <c r="AH206" s="5">
        <v>0.373</v>
      </c>
      <c r="AI206" s="5">
        <v>9.16</v>
      </c>
      <c r="AJ206" s="5">
        <v>0</v>
      </c>
      <c r="AK206" s="5">
        <v>0</v>
      </c>
      <c r="AL206" s="5">
        <v>5584.6299999999992</v>
      </c>
      <c r="AM206" s="5">
        <v>394.03000000000065</v>
      </c>
      <c r="AN206" s="5">
        <v>5584</v>
      </c>
      <c r="AO206" s="5">
        <f t="shared" si="187"/>
        <v>0.62999999999919964</v>
      </c>
      <c r="AP206" s="5">
        <f t="shared" si="189"/>
        <v>0</v>
      </c>
      <c r="AQ206" s="5">
        <v>54.63</v>
      </c>
      <c r="AR206" s="5">
        <v>1.97</v>
      </c>
      <c r="AS206" s="5">
        <v>0</v>
      </c>
      <c r="AT206" s="5">
        <v>188867.56</v>
      </c>
      <c r="AU206" s="5">
        <v>0</v>
      </c>
      <c r="AV206" s="5">
        <v>4844</v>
      </c>
      <c r="AW206" s="5">
        <v>693.23</v>
      </c>
      <c r="AX206" s="5">
        <v>10</v>
      </c>
      <c r="AY206" s="199">
        <v>0</v>
      </c>
      <c r="AZ206" s="199">
        <v>0</v>
      </c>
      <c r="BA206" s="5">
        <v>3141769.19</v>
      </c>
      <c r="BB206" s="13">
        <v>16147736.880000001</v>
      </c>
      <c r="BC206" s="101">
        <f>MAX(ROUND(IF(F206&lt;4,IF(H206=0,(SUM(Y206:AD206)*Worksheet!$E$26+Y206*Worksheet!$E$27+AR206*Worksheet!$E$39)*-BaseRate,0)),2),MIN(0,-DI206))</f>
        <v>0</v>
      </c>
      <c r="BD206" s="101">
        <f>MAX(ROUND(IF(F206=4,0,IF(I206=0,0,ROUND(SUM(Y206:AD206)*Worksheet!$E$28,2)*-BaseRate)),2),MIN(0,-DI206-BC206))</f>
        <v>-131103.91</v>
      </c>
      <c r="BE206" s="130">
        <f t="shared" si="182"/>
        <v>0</v>
      </c>
      <c r="BF206" s="130">
        <f t="shared" si="183"/>
        <v>1412</v>
      </c>
      <c r="BG206" s="73"/>
      <c r="BH206" s="118">
        <f t="shared" si="184"/>
        <v>44652.3</v>
      </c>
      <c r="BI206" s="118">
        <f t="shared" si="185"/>
        <v>10467.44</v>
      </c>
      <c r="BJ206" s="232">
        <f>IFERROR(ROUND(IF(AND(BB206*1.12&lt;N206*60/1000,N206/CL206&lt;STVPP*0.2),(CL206*STVPP*0.2*Worksheet!$F$88/1000-BB206*1.12)*PropTaxAdj,IF(BB206*1.12&lt;N206*60/1000,(N206*60/1000-BB206*1.12)*PropTaxAdj,0)),2),0)</f>
        <v>0</v>
      </c>
      <c r="BK206" s="116">
        <f>ROUND(IF($F206=4,0,Y206*Worksheet!$E$16),2)</f>
        <v>50.05</v>
      </c>
      <c r="BL206" s="116">
        <f>ROUND(IF($F206=4,0,Z206*Worksheet!$E$17),2)</f>
        <v>470</v>
      </c>
      <c r="BM206" s="116">
        <f>ROUND(IF($F206=4,0,AA206*Worksheet!$E$18),2)</f>
        <v>2785</v>
      </c>
      <c r="BN206" s="116">
        <f>ROUND(IF($F206=4,0,AB206*Worksheet!$E$19),2)</f>
        <v>860</v>
      </c>
      <c r="BO206" s="116">
        <f>ROUND(IF($F206=4,0,AC206*Worksheet!$E$20),2)</f>
        <v>1443.43</v>
      </c>
      <c r="BP206" s="116">
        <f>ROUND(AD206*Worksheet!$E$21,2)</f>
        <v>25.57</v>
      </c>
      <c r="BQ206" s="116">
        <f t="shared" si="153"/>
        <v>5634.05</v>
      </c>
      <c r="BR206" s="116">
        <f>ROUND(AD206*Worksheet!$E$25,2)</f>
        <v>6.39</v>
      </c>
      <c r="BS206" s="116">
        <f>ROUND(SUM(BQ206)*Worksheet!$E$26,2)</f>
        <v>495.8</v>
      </c>
      <c r="BT206" s="116">
        <f>ROUND(Y206*Worksheet!$E$27,2)</f>
        <v>8.51</v>
      </c>
      <c r="BU206" s="116">
        <f>ROUND(AO206*Worksheet!$E$29,2)</f>
        <v>0.63</v>
      </c>
      <c r="BV206" s="116">
        <f>ROUND(AP206*Worksheet!$E$30,2)</f>
        <v>0</v>
      </c>
      <c r="BW206" s="116">
        <f>ROUND(IF($I206&lt;&gt;0,$BQ206*Worksheet!$E$28,0),2)</f>
        <v>11.27</v>
      </c>
      <c r="BX206" s="116">
        <f>ROUND(AE206*Worksheet!$E$31,2)</f>
        <v>39.24</v>
      </c>
      <c r="BY206" s="116">
        <f>ROUND(AF206*Worksheet!$E$32,2)</f>
        <v>31.74</v>
      </c>
      <c r="BZ206" s="116">
        <f>ROUND(AG206*Worksheet!$E$33,2)</f>
        <v>12.23</v>
      </c>
      <c r="CA206" s="116">
        <f>ROUND(ROUND(AH206*BQ206,2)*Worksheet!$E$34,2)</f>
        <v>52.54</v>
      </c>
      <c r="CB206" s="116">
        <f>ROUND(AI206*Worksheet!$E$35,2)</f>
        <v>1.83</v>
      </c>
      <c r="CC206" s="116">
        <f>ROUND(AJ206*Worksheet!$E$36,2)</f>
        <v>0</v>
      </c>
      <c r="CD206" s="116">
        <f>ROUND(AQ206*Worksheet!$E$38,2)</f>
        <v>32.78</v>
      </c>
      <c r="CE206" s="116">
        <f>ROUND(AR206*Worksheet!$E$39,2)</f>
        <v>1.97</v>
      </c>
      <c r="CF206" s="116">
        <f>IF(AND(L206&gt;275,SUM(Y206:AD206)&lt;100),ROUND(SUM(Y206:AD206)*Worksheet!$E$41,2),0)</f>
        <v>0</v>
      </c>
      <c r="CG206" s="116">
        <f>IF(AND(L206&gt;600,SUM(Y206:AD206)&lt;50),ROUND((50-SUM(Y206:AD206))*(Worksheet!$E$41+1),2),0)</f>
        <v>0</v>
      </c>
      <c r="CH206" s="116">
        <f t="shared" si="154"/>
        <v>6328.9800000000005</v>
      </c>
      <c r="CI206" s="116">
        <f t="shared" si="178"/>
        <v>0</v>
      </c>
      <c r="CJ206" s="116">
        <f t="shared" si="179"/>
        <v>6328.9800000000005</v>
      </c>
      <c r="CK206" s="95">
        <f t="shared" si="186"/>
        <v>1.014</v>
      </c>
      <c r="CL206" s="116">
        <f t="shared" si="180"/>
        <v>6417.59</v>
      </c>
      <c r="CM206" s="116">
        <f t="shared" si="181"/>
        <v>6417.59</v>
      </c>
      <c r="CN206" s="116">
        <f t="shared" si="176"/>
        <v>74655824.469999999</v>
      </c>
      <c r="CO206" s="131">
        <f>ROUND(IF(F206=4,0,(MAX(ROUND(MAX((BI206*MIN(CL206,K206)*Worksheet!$D$126)+MAX(CL206-K206,0)*Worksheet!$F$50,SUM(J206)),2),SUM(CN206))-SUM(CN206))*MinAdj),2)</f>
        <v>0</v>
      </c>
      <c r="CP206" s="116">
        <f t="shared" si="177"/>
        <v>74655824.469999999</v>
      </c>
      <c r="CQ206" s="131">
        <f>IF(CL206=0,0,-MIN(CP206,MIN(CP206,ROUND(IF(ROUND(IF(CL206=0,0,N206/CL206),2)&lt;STVPP*0.2,STVPP*0.2*CL206*Worksheet!$F$88/1000,N206*Worksheet!$F$88/1000),2))))</f>
        <v>-17193610.260000002</v>
      </c>
      <c r="CR206" s="131">
        <f>-MIN(SUM(CP206,CQ206),IF($P206=0,(ROUND(Worksheet!$E$77*S206,2)+ROUND(Worksheet!$E$78*T206,2)+ROUND(Worksheet!$E$79*U206,2)+ROUND(Worksheet!$E$80*V206,2)+ROUND(Worksheet!$E$81*W206,2)+ROUND(Worksheet!$E$82*X206,2)),(ROUND(ROUND(S206*ROUND((1-$O206/$P206),4),2)*Worksheet!$E$77,2)+ROUND(ROUND(T206*ROUND((1-$O206/$P206),4),2)*Worksheet!$E$78,2)+ROUND(ROUND(U206*ROUND((1-$O206/$P206),4),2)*Worksheet!$E$79,2)+ROUND(ROUND(V206*ROUND((1-$O206/$P206),4),2)*Worksheet!$E$80,2)+ROUND(ROUND(W206*ROUND((1-$O206/$P206),4),2)*Worksheet!$E$81,2)+ROUND(ROUND(X206*ROUND((1-$O206/$P206),4),2)*Worksheet!$E$82,2))))</f>
        <v>-4351182.540000001</v>
      </c>
      <c r="CS206" s="116">
        <f t="shared" si="155"/>
        <v>53111031.669999994</v>
      </c>
      <c r="CT206" s="116">
        <f>ROUND(MIN(BA206,ROUND((ROUND(AS206*Worksheet!$E$104,2)+ROUND(AV206*Worksheet!$E$107,2)+ROUND(AT206*Worksheet!$E$105,2)+ROUND(AW206*Worksheet!$E$108,2)+ROUND(AU206*Worksheet!$E$106,2)+ROUND(AX206*Worksheet!$E$109,2)+ROUND(AY206*Worksheet!$E$110,2)+ROUND(AZ206*Worksheet!$E$111,2))*Worksheet!$D$114,2))*BaseRate,2)</f>
        <v>301178.37</v>
      </c>
      <c r="CU206" s="121">
        <v>0</v>
      </c>
      <c r="CV206" s="121">
        <v>0</v>
      </c>
      <c r="CW206" s="121">
        <v>0</v>
      </c>
      <c r="CX206" s="121">
        <v>0</v>
      </c>
      <c r="CY206" s="121">
        <v>0</v>
      </c>
      <c r="DA206" s="116">
        <f t="shared" si="156"/>
        <v>0</v>
      </c>
      <c r="DB206" s="116">
        <f>MAX(-CT206,MIN(0,ROUND($R206*EFBPercent+EFBAdd,2)-$Q206),MIN(0,SUM($CS206:CS206)+MIN(0,ROUND($R206*EFBPercent+EFBAdd,2)-$Q206)))</f>
        <v>0</v>
      </c>
      <c r="DC206" s="192">
        <f>IF(CU206&lt;0,0,MAX(-CU206,MIN(0,ROUND($R206*EFBPercent+EFBAdd,2)-$Q206),MIN(0,SUM($CS206:CT206)+MIN(0,ROUND($R206*EFBPercent+EFBAdd,2)-$Q206))))</f>
        <v>0</v>
      </c>
      <c r="DD206" s="192">
        <f>IF(CV206&lt;0,0,MAX(-CV206,MIN(0,ROUND($R206*EFBPercent+EFBAdd,2)-$Q206),MIN(0,SUM($CS206:CU206)+MIN(0,ROUND($R206*EFBPercent+EFBAdd,2)-$Q206))))</f>
        <v>0</v>
      </c>
      <c r="DE206" s="192">
        <f>IF(CW206&lt;0,0,MAX(-CW206,MIN(0,ROUND($R206*EFBPercent+EFBAdd,2)-$Q206),MIN(0,SUM($CS206:CV206)+MIN(0,ROUND($R206*EFBPercent+EFBAdd,2)-$Q206))))</f>
        <v>0</v>
      </c>
      <c r="DF206" s="192">
        <f>IF(CX206&lt;0,0,MAX(-CX206,MIN(0,ROUND($R206*EFBPercent+EFBAdd,2)-$Q206),MIN(0,SUM($CS206:CW206)+MIN(0,ROUND($R206*EFBPercent+EFBAdd,2)-$Q206))))</f>
        <v>0</v>
      </c>
      <c r="DG206" s="116">
        <f>MAX(-CY206,MIN(0,ROUND($R206*EFBPercent+EFBAdd,2)-$Q206),MIN(0,SUM($CS206:CX206)+MIN(0,ROUND($R206*EFBPercent+EFBAdd,2)-$Q206)))</f>
        <v>0</v>
      </c>
      <c r="DI206" s="73">
        <f t="shared" si="157"/>
        <v>53111031.669999994</v>
      </c>
      <c r="DJ206" s="73">
        <f t="shared" si="158"/>
        <v>301178.37</v>
      </c>
      <c r="DK206" s="73">
        <f t="shared" si="159"/>
        <v>0</v>
      </c>
      <c r="DL206" s="73">
        <f t="shared" si="160"/>
        <v>0</v>
      </c>
      <c r="DM206" s="73">
        <f t="shared" si="161"/>
        <v>0</v>
      </c>
      <c r="DN206" s="73">
        <f t="shared" si="162"/>
        <v>0</v>
      </c>
      <c r="DO206" s="73">
        <f t="shared" si="163"/>
        <v>0</v>
      </c>
      <c r="DP206" s="73"/>
      <c r="DQ206" s="73"/>
    </row>
    <row r="207" spans="1:121" s="228" customFormat="1" ht="10.199999999999999" x14ac:dyDescent="0.2">
      <c r="A207" s="219" t="s">
        <v>656</v>
      </c>
      <c r="B207" s="220">
        <v>1157</v>
      </c>
      <c r="C207" s="5" t="s">
        <v>176</v>
      </c>
      <c r="D207" s="4">
        <v>2027</v>
      </c>
      <c r="E207" s="219" t="s">
        <v>488</v>
      </c>
      <c r="F207" s="219">
        <v>1</v>
      </c>
      <c r="G207" s="219" t="s">
        <v>686</v>
      </c>
      <c r="H207" s="219">
        <v>100</v>
      </c>
      <c r="I207" s="4" t="s">
        <v>1152</v>
      </c>
      <c r="J207" s="221">
        <v>5893512.5899999999</v>
      </c>
      <c r="K207" s="221">
        <v>490.09</v>
      </c>
      <c r="L207" s="5">
        <v>499</v>
      </c>
      <c r="M207" s="221">
        <v>0</v>
      </c>
      <c r="N207" s="5">
        <v>115596634</v>
      </c>
      <c r="O207" s="5">
        <v>19.649999999999999</v>
      </c>
      <c r="P207" s="5">
        <v>79.650000000000006</v>
      </c>
      <c r="Q207" s="221">
        <v>0</v>
      </c>
      <c r="R207" s="221">
        <v>0</v>
      </c>
      <c r="S207" s="5">
        <v>0</v>
      </c>
      <c r="T207" s="5">
        <v>1208514.27</v>
      </c>
      <c r="U207" s="5">
        <v>2512186.42</v>
      </c>
      <c r="V207" s="5">
        <v>947835.17999999993</v>
      </c>
      <c r="W207" s="5">
        <v>5039.6899999999996</v>
      </c>
      <c r="X207" s="5">
        <v>18311.16</v>
      </c>
      <c r="Y207" s="5">
        <v>3.07</v>
      </c>
      <c r="Z207" s="5">
        <v>44</v>
      </c>
      <c r="AA207" s="5">
        <v>251</v>
      </c>
      <c r="AB207" s="5">
        <v>84</v>
      </c>
      <c r="AC207" s="5">
        <v>129</v>
      </c>
      <c r="AD207" s="5">
        <v>0</v>
      </c>
      <c r="AE207" s="5">
        <v>9.81</v>
      </c>
      <c r="AF207" s="5">
        <v>7.38</v>
      </c>
      <c r="AG207" s="5">
        <v>13</v>
      </c>
      <c r="AH207" s="5">
        <v>0.16400000000000001</v>
      </c>
      <c r="AI207" s="5">
        <v>0</v>
      </c>
      <c r="AJ207" s="5">
        <v>0</v>
      </c>
      <c r="AK207" s="5">
        <v>0</v>
      </c>
      <c r="AL207" s="5">
        <v>507.66999999999996</v>
      </c>
      <c r="AM207" s="5">
        <v>0</v>
      </c>
      <c r="AN207" s="5">
        <v>508</v>
      </c>
      <c r="AO207" s="5">
        <f t="shared" si="187"/>
        <v>0</v>
      </c>
      <c r="AP207" s="5">
        <f t="shared" si="189"/>
        <v>0</v>
      </c>
      <c r="AQ207" s="5">
        <v>2.5</v>
      </c>
      <c r="AR207" s="5">
        <v>0.2</v>
      </c>
      <c r="AS207" s="5">
        <v>0</v>
      </c>
      <c r="AT207" s="5">
        <v>95550</v>
      </c>
      <c r="AU207" s="5">
        <v>0</v>
      </c>
      <c r="AV207" s="5">
        <v>1750</v>
      </c>
      <c r="AW207" s="5">
        <v>499</v>
      </c>
      <c r="AX207" s="5">
        <v>2</v>
      </c>
      <c r="AY207" s="199">
        <v>0</v>
      </c>
      <c r="AZ207" s="199">
        <v>0</v>
      </c>
      <c r="BA207" s="5">
        <v>487058.19</v>
      </c>
      <c r="BB207" s="13">
        <v>6670819.9800000004</v>
      </c>
      <c r="BC207" s="222">
        <f>MAX(ROUND(IF(F207&lt;4,IF(H207=0,(SUM(Y207:AD207)*Worksheet!$E$26+Y207*Worksheet!$E$27+AR207*Worksheet!$E$39)*-BaseRate,0)),2),MIN(0,-DI207))</f>
        <v>0</v>
      </c>
      <c r="BD207" s="222">
        <f>MAX(ROUND(IF(F207=4,0,IF(I207=0,0,ROUND(SUM(Y207:AD207)*Worksheet!$E$28,2)*-BaseRate)),2),MIN(0,-DI207-BC207))</f>
        <v>0</v>
      </c>
      <c r="BE207" s="223">
        <f t="shared" si="182"/>
        <v>0</v>
      </c>
      <c r="BF207" s="223">
        <f t="shared" si="183"/>
        <v>0</v>
      </c>
      <c r="BG207" s="224"/>
      <c r="BH207" s="225">
        <f t="shared" si="184"/>
        <v>199424.88</v>
      </c>
      <c r="BI207" s="225">
        <f t="shared" si="185"/>
        <v>12025.37</v>
      </c>
      <c r="BJ207" s="232">
        <f>IFERROR(ROUND(IF(AND(BB207*1.12&lt;N207*60/1000,N207/CL207&lt;STVPP*0.2),(CL207*STVPP*0.2*Worksheet!$F$88/1000-BB207*1.12)*PropTaxAdj,IF(BB207*1.12&lt;N207*60/1000,(N207*60/1000-BB207*1.12)*PropTaxAdj,0)),2),0)</f>
        <v>0</v>
      </c>
      <c r="BK207" s="226">
        <f>ROUND(IF($F207=4,0,Y207*Worksheet!$E$16),2)</f>
        <v>3.07</v>
      </c>
      <c r="BL207" s="226">
        <f>ROUND(IF($F207=4,0,Z207*Worksheet!$E$17),2)</f>
        <v>44</v>
      </c>
      <c r="BM207" s="226">
        <f>ROUND(IF($F207=4,0,AA207*Worksheet!$E$18),2)</f>
        <v>251</v>
      </c>
      <c r="BN207" s="226">
        <f>ROUND(IF($F207=4,0,AB207*Worksheet!$E$19),2)</f>
        <v>84</v>
      </c>
      <c r="BO207" s="226">
        <f>ROUND(IF($F207=4,0,AC207*Worksheet!$E$20),2)</f>
        <v>129</v>
      </c>
      <c r="BP207" s="226">
        <f>ROUND(AD207*Worksheet!$E$21,2)</f>
        <v>0</v>
      </c>
      <c r="BQ207" s="226">
        <f t="shared" ref="BQ207" si="190">SUM(BK207:BP207)</f>
        <v>511.07</v>
      </c>
      <c r="BR207" s="226">
        <f>ROUND(AD207*Worksheet!$E$25,2)</f>
        <v>0</v>
      </c>
      <c r="BS207" s="226">
        <f>ROUND(SUM(BQ207)*Worksheet!$E$26,2)</f>
        <v>44.97</v>
      </c>
      <c r="BT207" s="226">
        <f>ROUND(Y207*Worksheet!$E$27,2)</f>
        <v>0.52</v>
      </c>
      <c r="BU207" s="226">
        <f>ROUND(AO207*Worksheet!$E$29,2)</f>
        <v>0</v>
      </c>
      <c r="BV207" s="226">
        <f>ROUND(AP207*Worksheet!$E$30,2)</f>
        <v>0</v>
      </c>
      <c r="BW207" s="226">
        <f>ROUND(IF($I207&lt;&gt;0,$BQ207*Worksheet!$E$28,0),2)</f>
        <v>1.02</v>
      </c>
      <c r="BX207" s="226">
        <f>ROUND(AE207*Worksheet!$E$31,2)</f>
        <v>3.92</v>
      </c>
      <c r="BY207" s="226">
        <f>ROUND(AF207*Worksheet!$E$32,2)</f>
        <v>2.0699999999999998</v>
      </c>
      <c r="BZ207" s="226">
        <f>ROUND(AG207*Worksheet!$E$33,2)</f>
        <v>0.91</v>
      </c>
      <c r="CA207" s="226">
        <f>ROUND(ROUND(AH207*BQ207,2)*Worksheet!$E$34,2)</f>
        <v>2.1</v>
      </c>
      <c r="CB207" s="226">
        <f>ROUND(AI207*Worksheet!$E$35,2)</f>
        <v>0</v>
      </c>
      <c r="CC207" s="226">
        <f>ROUND(AJ207*Worksheet!$E$36,2)</f>
        <v>0</v>
      </c>
      <c r="CD207" s="226">
        <f>ROUND(AQ207*Worksheet!$E$38,2)</f>
        <v>1.5</v>
      </c>
      <c r="CE207" s="226">
        <f>ROUND(AR207*Worksheet!$E$39,2)</f>
        <v>0.2</v>
      </c>
      <c r="CF207" s="226">
        <f>IF(AND(L207&gt;275,SUM(Y207:AD207)&lt;100),ROUND(SUM(Y207:AD207)*Worksheet!$E$41,2),0)</f>
        <v>0</v>
      </c>
      <c r="CG207" s="226">
        <f>IF(AND(L207&gt;600,SUM(Y207:AD207)&lt;50),ROUND((50-SUM(Y207:AD207))*(Worksheet!$E$41+1),2),0)</f>
        <v>0</v>
      </c>
      <c r="CH207" s="226">
        <f t="shared" ref="CH207" si="191">SUM(BQ207:CG207)</f>
        <v>568.28</v>
      </c>
      <c r="CI207" s="116">
        <f t="shared" si="178"/>
        <v>0</v>
      </c>
      <c r="CJ207" s="116">
        <f t="shared" si="179"/>
        <v>568.28</v>
      </c>
      <c r="CK207" s="95">
        <f t="shared" si="186"/>
        <v>1.02</v>
      </c>
      <c r="CL207" s="116">
        <f t="shared" si="180"/>
        <v>579.65</v>
      </c>
      <c r="CM207" s="116">
        <f t="shared" si="181"/>
        <v>579.65</v>
      </c>
      <c r="CN207" s="116">
        <f t="shared" si="176"/>
        <v>6743068.4500000002</v>
      </c>
      <c r="CO207" s="131">
        <f>ROUND(IF(F207=4,0,(MAX(ROUND(MAX((BI207*MIN(CL207,K207)*Worksheet!$D$126)+MAX(CL207-K207,0)*Worksheet!$F$50,SUM(J207)),2),SUM(CN207))-SUM(CN207))*MinAdj),2)</f>
        <v>46525.03</v>
      </c>
      <c r="CP207" s="226">
        <f t="shared" si="177"/>
        <v>6789593.4800000004</v>
      </c>
      <c r="CQ207" s="131">
        <f>IF(CL207=0,0,-MIN(CP207,MIN(CP207,ROUND(IF(ROUND(IF(CL207=0,0,N207/CL207),2)&lt;STVPP*0.2,STVPP*0.2*CL207*Worksheet!$F$88/1000,N207*Worksheet!$F$88/1000),2))))</f>
        <v>-6789593.4800000004</v>
      </c>
      <c r="CR207" s="227">
        <f>-MIN(SUM(CP207,CQ207),IF($P207=0,(ROUND(Worksheet!$E$77*S207,2)+ROUND(Worksheet!$E$78*T207,2)+ROUND(Worksheet!$E$79*U207,2)+ROUND(Worksheet!$E$80*V207,2)+ROUND(Worksheet!$E$81*W207,2)+ROUND(Worksheet!$E$82*X207,2)),(ROUND(ROUND(S207*ROUND((1-$O207/$P207),4),2)*Worksheet!$E$77,2)+ROUND(ROUND(T207*ROUND((1-$O207/$P207),4),2)*Worksheet!$E$78,2)+ROUND(ROUND(U207*ROUND((1-$O207/$P207),4),2)*Worksheet!$E$79,2)+ROUND(ROUND(V207*ROUND((1-$O207/$P207),4),2)*Worksheet!$E$80,2)+ROUND(ROUND(W207*ROUND((1-$O207/$P207),4),2)*Worksheet!$E$81,2)+ROUND(ROUND(X207*ROUND((1-$O207/$P207),4),2)*Worksheet!$E$82,2))))</f>
        <v>0</v>
      </c>
      <c r="CS207" s="226">
        <f t="shared" ref="CS207" si="192">SUM(CP207:CR207)</f>
        <v>0</v>
      </c>
      <c r="CT207" s="116">
        <f>ROUND(MIN(BA207,ROUND((ROUND(AS207*Worksheet!$E$104,2)+ROUND(AV207*Worksheet!$E$107,2)+ROUND(AT207*Worksheet!$E$105,2)+ROUND(AW207*Worksheet!$E$108,2)+ROUND(AU207*Worksheet!$E$106,2)+ROUND(AX207*Worksheet!$E$109,2)+ROUND(AY207*Worksheet!$E$110,2)+ROUND(AZ207*Worksheet!$E$111,2))*Worksheet!$D$114,2))*BaseRate,2)</f>
        <v>140410.31</v>
      </c>
      <c r="CU207" s="121">
        <v>0</v>
      </c>
      <c r="CV207" s="121">
        <v>0</v>
      </c>
      <c r="CW207" s="121">
        <v>0</v>
      </c>
      <c r="CX207" s="121">
        <v>0</v>
      </c>
      <c r="CY207" s="121">
        <v>0</v>
      </c>
      <c r="DA207" s="226">
        <f t="shared" ref="DA207" si="193">MAX(-CS207,MIN(0,ROUND($R207*EFBPercent+EFBAdd,2)-$Q207))</f>
        <v>0</v>
      </c>
      <c r="DB207" s="226">
        <f>MAX(-CT207,MIN(0,ROUND($R207*EFBPercent+EFBAdd,2)-$Q207),MIN(0,SUM($CS207:CS207)+MIN(0,ROUND($R207*EFBPercent+EFBAdd,2)-$Q207)))</f>
        <v>0</v>
      </c>
      <c r="DC207" s="192">
        <f>IF(CU207&lt;0,0,MAX(-CU207,MIN(0,ROUND($R207*EFBPercent+EFBAdd,2)-$Q207),MIN(0,SUM($CS207:CT207)+MIN(0,ROUND($R207*EFBPercent+EFBAdd,2)-$Q207))))</f>
        <v>0</v>
      </c>
      <c r="DD207" s="192">
        <f>IF(CV207&lt;0,0,MAX(-CV207,MIN(0,ROUND($R207*EFBPercent+EFBAdd,2)-$Q207),MIN(0,SUM($CS207:CU207)+MIN(0,ROUND($R207*EFBPercent+EFBAdd,2)-$Q207))))</f>
        <v>0</v>
      </c>
      <c r="DE207" s="192">
        <f>IF(CW207&lt;0,0,MAX(-CW207,MIN(0,ROUND($R207*EFBPercent+EFBAdd,2)-$Q207),MIN(0,SUM($CS207:CV207)+MIN(0,ROUND($R207*EFBPercent+EFBAdd,2)-$Q207))))</f>
        <v>0</v>
      </c>
      <c r="DF207" s="192">
        <f>IF(CX207&lt;0,0,MAX(-CX207,MIN(0,ROUND($R207*EFBPercent+EFBAdd,2)-$Q207),MIN(0,SUM($CS207:CW207)+MIN(0,ROUND($R207*EFBPercent+EFBAdd,2)-$Q207))))</f>
        <v>0</v>
      </c>
      <c r="DG207" s="226">
        <f>MAX(-CY207,MIN(0,ROUND($R207*EFBPercent+EFBAdd,2)-$Q207),MIN(0,SUM($CS207:CX207)+MIN(0,ROUND($R207*EFBPercent+EFBAdd,2)-$Q207)))</f>
        <v>0</v>
      </c>
      <c r="DI207" s="224">
        <f t="shared" ref="DI207" si="194">+CS207+DA207</f>
        <v>0</v>
      </c>
      <c r="DJ207" s="224">
        <f t="shared" ref="DJ207" si="195">+CT207+DB207</f>
        <v>140410.31</v>
      </c>
      <c r="DK207" s="224">
        <f t="shared" ref="DK207" si="196">+CU207+DC207</f>
        <v>0</v>
      </c>
      <c r="DL207" s="224">
        <f t="shared" ref="DL207" si="197">+CV207+DD207</f>
        <v>0</v>
      </c>
      <c r="DM207" s="224">
        <f t="shared" ref="DM207" si="198">+CW207+DE207</f>
        <v>0</v>
      </c>
      <c r="DN207" s="224">
        <f t="shared" ref="DN207" si="199">+CX207+DF207</f>
        <v>0</v>
      </c>
      <c r="DO207" s="224">
        <f t="shared" ref="DO207" si="200">+CY207+DG207</f>
        <v>0</v>
      </c>
      <c r="DP207" s="224"/>
      <c r="DQ207" s="73"/>
    </row>
    <row r="208" spans="1:121" ht="10.199999999999999" x14ac:dyDescent="0.2">
      <c r="A208" s="4" t="s">
        <v>657</v>
      </c>
      <c r="B208" s="72">
        <v>1056</v>
      </c>
      <c r="C208" s="13" t="s">
        <v>177</v>
      </c>
      <c r="D208" s="4">
        <v>2027</v>
      </c>
      <c r="E208" s="4" t="s">
        <v>294</v>
      </c>
      <c r="F208" s="4">
        <v>1</v>
      </c>
      <c r="G208" s="4" t="s">
        <v>686</v>
      </c>
      <c r="H208" s="4">
        <v>100</v>
      </c>
      <c r="I208" s="4" t="s">
        <v>1152</v>
      </c>
      <c r="J208" s="5">
        <v>2924284.0999999996</v>
      </c>
      <c r="K208" s="5">
        <v>246.6</v>
      </c>
      <c r="L208" s="5">
        <v>820.5</v>
      </c>
      <c r="M208" s="5">
        <v>0</v>
      </c>
      <c r="N208" s="5">
        <v>23046832</v>
      </c>
      <c r="O208" s="5">
        <v>25</v>
      </c>
      <c r="P208" s="5">
        <v>118.43</v>
      </c>
      <c r="Q208" s="5">
        <v>0</v>
      </c>
      <c r="R208" s="5">
        <v>0</v>
      </c>
      <c r="S208" s="5">
        <v>0</v>
      </c>
      <c r="T208" s="5">
        <v>445020.97999999992</v>
      </c>
      <c r="U208" s="5">
        <v>0</v>
      </c>
      <c r="V208" s="5">
        <v>171951.71</v>
      </c>
      <c r="W208" s="5">
        <v>2575.0100000000002</v>
      </c>
      <c r="X208" s="5">
        <v>4191.17</v>
      </c>
      <c r="Y208" s="5">
        <v>1.74</v>
      </c>
      <c r="Z208" s="5">
        <v>10</v>
      </c>
      <c r="AA208" s="5">
        <v>61</v>
      </c>
      <c r="AB208" s="5">
        <v>29</v>
      </c>
      <c r="AC208" s="5">
        <v>52</v>
      </c>
      <c r="AD208" s="5">
        <v>0</v>
      </c>
      <c r="AE208" s="5">
        <v>0</v>
      </c>
      <c r="AF208" s="5">
        <v>1</v>
      </c>
      <c r="AG208" s="5">
        <v>0</v>
      </c>
      <c r="AH208" s="5">
        <v>0.42599999999999999</v>
      </c>
      <c r="AI208" s="5">
        <v>0</v>
      </c>
      <c r="AJ208" s="5">
        <v>0</v>
      </c>
      <c r="AK208" s="5">
        <v>0</v>
      </c>
      <c r="AL208" s="5">
        <v>152.18</v>
      </c>
      <c r="AM208" s="5">
        <v>0</v>
      </c>
      <c r="AN208" s="5">
        <v>152</v>
      </c>
      <c r="AO208" s="5">
        <f t="shared" si="187"/>
        <v>0.18000000000000682</v>
      </c>
      <c r="AP208" s="5">
        <f t="shared" si="189"/>
        <v>0</v>
      </c>
      <c r="AQ208" s="5">
        <v>1.72</v>
      </c>
      <c r="AR208" s="5">
        <v>0.28999999999999998</v>
      </c>
      <c r="AS208" s="5">
        <v>0</v>
      </c>
      <c r="AT208" s="5">
        <v>121424.8</v>
      </c>
      <c r="AU208" s="5">
        <v>0</v>
      </c>
      <c r="AV208" s="5">
        <v>2236</v>
      </c>
      <c r="AW208" s="5">
        <v>820.5</v>
      </c>
      <c r="AX208" s="5">
        <v>1</v>
      </c>
      <c r="AY208" s="199">
        <v>63729.5</v>
      </c>
      <c r="AZ208" s="199">
        <v>0</v>
      </c>
      <c r="BA208" s="5">
        <v>296928.34999999998</v>
      </c>
      <c r="BB208" s="13">
        <v>1374307.68</v>
      </c>
      <c r="BC208" s="101">
        <f>MAX(ROUND(IF(F208&lt;4,IF(H208=0,(SUM(Y208:AD208)*Worksheet!$E$26+Y208*Worksheet!$E$27+AR208*Worksheet!$E$39)*-BaseRate,0)),2),MIN(0,-DI208))</f>
        <v>0</v>
      </c>
      <c r="BD208" s="101">
        <f>MAX(ROUND(IF(F208=4,0,IF(I208=0,0,ROUND(SUM(Y208:AD208)*Worksheet!$E$28,2)*-BaseRate)),2),MIN(0,-DI208-BC208))</f>
        <v>-3606.23</v>
      </c>
      <c r="BE208" s="130">
        <f t="shared" si="182"/>
        <v>0</v>
      </c>
      <c r="BF208" s="130">
        <f t="shared" si="183"/>
        <v>1412</v>
      </c>
      <c r="BG208" s="73"/>
      <c r="BH208" s="118">
        <f t="shared" si="184"/>
        <v>94084.06</v>
      </c>
      <c r="BI208" s="118">
        <f t="shared" si="185"/>
        <v>11858.41</v>
      </c>
      <c r="BJ208" s="232">
        <f>IFERROR(ROUND(IF(AND(BB208*1.12&lt;N208*60/1000,N208/CL208&lt;STVPP*0.2),(CL208*STVPP*0.2*Worksheet!$F$88/1000-BB208*1.12)*PropTaxAdj,IF(BB208*1.12&lt;N208*60/1000,(N208*60/1000-BB208*1.12)*PropTaxAdj,0)),2),0)</f>
        <v>0</v>
      </c>
      <c r="BK208" s="116">
        <f>ROUND(IF($F208=4,0,Y208*Worksheet!$E$16),2)</f>
        <v>1.74</v>
      </c>
      <c r="BL208" s="116">
        <f>ROUND(IF($F208=4,0,Z208*Worksheet!$E$17),2)</f>
        <v>10</v>
      </c>
      <c r="BM208" s="116">
        <f>ROUND(IF($F208=4,0,AA208*Worksheet!$E$18),2)</f>
        <v>61</v>
      </c>
      <c r="BN208" s="116">
        <f>ROUND(IF($F208=4,0,AB208*Worksheet!$E$19),2)</f>
        <v>29</v>
      </c>
      <c r="BO208" s="116">
        <f>ROUND(IF($F208=4,0,AC208*Worksheet!$E$20),2)</f>
        <v>52</v>
      </c>
      <c r="BP208" s="116">
        <f>ROUND(AD208*Worksheet!$E$21,2)</f>
        <v>0</v>
      </c>
      <c r="BQ208" s="116">
        <f t="shared" si="153"/>
        <v>153.74</v>
      </c>
      <c r="BR208" s="116">
        <f>ROUND(AD208*Worksheet!$E$25,2)</f>
        <v>0</v>
      </c>
      <c r="BS208" s="116">
        <f>ROUND(SUM(BQ208)*Worksheet!$E$26,2)</f>
        <v>13.53</v>
      </c>
      <c r="BT208" s="116">
        <f>ROUND(Y208*Worksheet!$E$27,2)</f>
        <v>0.3</v>
      </c>
      <c r="BU208" s="116">
        <f>ROUND(AO208*Worksheet!$E$29,2)</f>
        <v>0.18</v>
      </c>
      <c r="BV208" s="116">
        <f>ROUND(AP208*Worksheet!$E$30,2)</f>
        <v>0</v>
      </c>
      <c r="BW208" s="116">
        <f>ROUND(IF($I208&lt;&gt;0,$BQ208*Worksheet!$E$28,0),2)</f>
        <v>0.31</v>
      </c>
      <c r="BX208" s="116">
        <f>ROUND(AE208*Worksheet!$E$31,2)</f>
        <v>0</v>
      </c>
      <c r="BY208" s="116">
        <f>ROUND(AF208*Worksheet!$E$32,2)</f>
        <v>0.28000000000000003</v>
      </c>
      <c r="BZ208" s="116">
        <f>ROUND(AG208*Worksheet!$E$33,2)</f>
        <v>0</v>
      </c>
      <c r="CA208" s="116">
        <f>ROUND(ROUND(AH208*BQ208,2)*Worksheet!$E$34,2)</f>
        <v>1.64</v>
      </c>
      <c r="CB208" s="116">
        <f>ROUND(AI208*Worksheet!$E$35,2)</f>
        <v>0</v>
      </c>
      <c r="CC208" s="116">
        <f>ROUND(AJ208*Worksheet!$E$36,2)</f>
        <v>0</v>
      </c>
      <c r="CD208" s="116">
        <f>ROUND(AQ208*Worksheet!$E$38,2)</f>
        <v>1.03</v>
      </c>
      <c r="CE208" s="116">
        <f>ROUND(AR208*Worksheet!$E$39,2)</f>
        <v>0.28999999999999998</v>
      </c>
      <c r="CF208" s="116">
        <f>IF(AND(L208&gt;275,SUM(Y208:AD208)&lt;100),ROUND(SUM(Y208:AD208)*Worksheet!$E$41,2),0)</f>
        <v>0</v>
      </c>
      <c r="CG208" s="116">
        <f>IF(AND(L208&gt;600,SUM(Y208:AD208)&lt;50),ROUND((50-SUM(Y208:AD208))*(Worksheet!$E$41+1),2),0)</f>
        <v>0</v>
      </c>
      <c r="CH208" s="116">
        <f t="shared" si="154"/>
        <v>171.3</v>
      </c>
      <c r="CI208" s="116">
        <f t="shared" si="178"/>
        <v>0</v>
      </c>
      <c r="CJ208" s="116">
        <f t="shared" si="179"/>
        <v>171.3</v>
      </c>
      <c r="CK208" s="95">
        <f t="shared" si="186"/>
        <v>1.43</v>
      </c>
      <c r="CL208" s="116">
        <f t="shared" si="180"/>
        <v>244.96</v>
      </c>
      <c r="CM208" s="116">
        <f t="shared" si="181"/>
        <v>244.96</v>
      </c>
      <c r="CN208" s="116">
        <f t="shared" si="176"/>
        <v>2849619.68</v>
      </c>
      <c r="CO208" s="131">
        <f>ROUND(IF(F208=4,0,(MAX(ROUND(MAX((BI208*MIN(CL208,K208)*Worksheet!$D$126)+MAX(CL208-K208,0)*Worksheet!$F$50,SUM(J208)),2),SUM(CN208))-SUM(CN208))*MinAdj),2)</f>
        <v>16996.97</v>
      </c>
      <c r="CP208" s="116">
        <f t="shared" si="177"/>
        <v>2866616.6500000004</v>
      </c>
      <c r="CQ208" s="131">
        <f>IF(CL208=0,0,-MIN(CP208,MIN(CP208,ROUND(IF(ROUND(IF(CL208=0,0,N208/CL208),2)&lt;STVPP*0.2,STVPP*0.2*CL208*Worksheet!$F$88/1000,N208*Worksheet!$F$88/1000),2))))</f>
        <v>-1382809.92</v>
      </c>
      <c r="CR208" s="131">
        <f>-MIN(SUM(CP208,CQ208),IF($P208=0,(ROUND(Worksheet!$E$77*S208,2)+ROUND(Worksheet!$E$78*T208,2)+ROUND(Worksheet!$E$79*U208,2)+ROUND(Worksheet!$E$80*V208,2)+ROUND(Worksheet!$E$81*W208,2)+ROUND(Worksheet!$E$82*X208,2)),(ROUND(ROUND(S208*ROUND((1-$O208/$P208),4),2)*Worksheet!$E$77,2)+ROUND(ROUND(T208*ROUND((1-$O208/$P208),4),2)*Worksheet!$E$78,2)+ROUND(ROUND(U208*ROUND((1-$O208/$P208),4),2)*Worksheet!$E$79,2)+ROUND(ROUND(V208*ROUND((1-$O208/$P208),4),2)*Worksheet!$E$80,2)+ROUND(ROUND(W208*ROUND((1-$O208/$P208),4),2)*Worksheet!$E$81,2)+ROUND(ROUND(X208*ROUND((1-$O208/$P208),4),2)*Worksheet!$E$82,2))))</f>
        <v>-369050.69999999995</v>
      </c>
      <c r="CS208" s="116">
        <f t="shared" si="155"/>
        <v>1114756.0300000005</v>
      </c>
      <c r="CT208" s="116">
        <f>ROUND(MIN(BA208,ROUND((ROUND(AS208*Worksheet!$E$104,2)+ROUND(AV208*Worksheet!$E$107,2)+ROUND(AT208*Worksheet!$E$105,2)+ROUND(AW208*Worksheet!$E$108,2)+ROUND(AU208*Worksheet!$E$106,2)+ROUND(AX208*Worksheet!$E$109,2)+ROUND(AY208*Worksheet!$E$110,2)+ROUND(AZ208*Worksheet!$E$111,2))*Worksheet!$D$114,2))*BaseRate,2)</f>
        <v>194503.76</v>
      </c>
      <c r="CU208" s="121">
        <v>0</v>
      </c>
      <c r="CV208" s="121">
        <v>0</v>
      </c>
      <c r="CW208" s="121">
        <v>0</v>
      </c>
      <c r="CX208" s="121">
        <v>0</v>
      </c>
      <c r="CY208" s="121">
        <v>0</v>
      </c>
      <c r="DA208" s="116">
        <f t="shared" si="156"/>
        <v>0</v>
      </c>
      <c r="DB208" s="116">
        <f>MAX(-CT208,MIN(0,ROUND($R208*EFBPercent+EFBAdd,2)-$Q208),MIN(0,SUM($CS208:CS208)+MIN(0,ROUND($R208*EFBPercent+EFBAdd,2)-$Q208)))</f>
        <v>0</v>
      </c>
      <c r="DC208" s="192">
        <f>IF(CU208&lt;0,0,MAX(-CU208,MIN(0,ROUND($R208*EFBPercent+EFBAdd,2)-$Q208),MIN(0,SUM($CS208:CT208)+MIN(0,ROUND($R208*EFBPercent+EFBAdd,2)-$Q208))))</f>
        <v>0</v>
      </c>
      <c r="DD208" s="192">
        <f>IF(CV208&lt;0,0,MAX(-CV208,MIN(0,ROUND($R208*EFBPercent+EFBAdd,2)-$Q208),MIN(0,SUM($CS208:CU208)+MIN(0,ROUND($R208*EFBPercent+EFBAdd,2)-$Q208))))</f>
        <v>0</v>
      </c>
      <c r="DE208" s="192">
        <f>IF(CW208&lt;0,0,MAX(-CW208,MIN(0,ROUND($R208*EFBPercent+EFBAdd,2)-$Q208),MIN(0,SUM($CS208:CV208)+MIN(0,ROUND($R208*EFBPercent+EFBAdd,2)-$Q208))))</f>
        <v>0</v>
      </c>
      <c r="DF208" s="192">
        <f>IF(CX208&lt;0,0,MAX(-CX208,MIN(0,ROUND($R208*EFBPercent+EFBAdd,2)-$Q208),MIN(0,SUM($CS208:CW208)+MIN(0,ROUND($R208*EFBPercent+EFBAdd,2)-$Q208))))</f>
        <v>0</v>
      </c>
      <c r="DG208" s="116">
        <f>MAX(-CY208,MIN(0,ROUND($R208*EFBPercent+EFBAdd,2)-$Q208),MIN(0,SUM($CS208:CX208)+MIN(0,ROUND($R208*EFBPercent+EFBAdd,2)-$Q208)))</f>
        <v>0</v>
      </c>
      <c r="DI208" s="73">
        <f t="shared" si="157"/>
        <v>1114756.0300000005</v>
      </c>
      <c r="DJ208" s="73">
        <f t="shared" si="158"/>
        <v>194503.76</v>
      </c>
      <c r="DK208" s="73">
        <f t="shared" si="159"/>
        <v>0</v>
      </c>
      <c r="DL208" s="73">
        <f t="shared" si="160"/>
        <v>0</v>
      </c>
      <c r="DM208" s="73">
        <f t="shared" si="161"/>
        <v>0</v>
      </c>
      <c r="DN208" s="73">
        <f t="shared" si="162"/>
        <v>0</v>
      </c>
      <c r="DO208" s="73">
        <f t="shared" si="163"/>
        <v>0</v>
      </c>
      <c r="DP208" s="73"/>
      <c r="DQ208" s="73"/>
    </row>
    <row r="209" spans="1:121" ht="10.199999999999999" x14ac:dyDescent="0.2">
      <c r="A209" s="4" t="s">
        <v>1152</v>
      </c>
      <c r="B209" s="72">
        <v>1412</v>
      </c>
      <c r="C209" s="13" t="s">
        <v>1153</v>
      </c>
      <c r="D209" s="4">
        <v>2027</v>
      </c>
      <c r="E209" s="4" t="s">
        <v>1154</v>
      </c>
      <c r="F209" s="4">
        <v>0</v>
      </c>
      <c r="G209" s="4" t="s">
        <v>968</v>
      </c>
      <c r="H209" s="4">
        <v>0</v>
      </c>
      <c r="I209" s="4">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f t="shared" si="187"/>
        <v>0</v>
      </c>
      <c r="AP209" s="5">
        <v>0</v>
      </c>
      <c r="AQ209" s="5">
        <v>0</v>
      </c>
      <c r="AR209" s="5">
        <v>0</v>
      </c>
      <c r="AS209" s="5">
        <v>0</v>
      </c>
      <c r="AT209" s="5">
        <v>0</v>
      </c>
      <c r="AU209" s="5">
        <v>0</v>
      </c>
      <c r="AV209" s="5">
        <v>0</v>
      </c>
      <c r="AW209" s="5">
        <v>0</v>
      </c>
      <c r="AX209" s="5">
        <v>0</v>
      </c>
      <c r="AY209" s="199">
        <v>0</v>
      </c>
      <c r="AZ209" s="199">
        <v>0</v>
      </c>
      <c r="BA209" s="5">
        <v>0</v>
      </c>
      <c r="BB209" s="13">
        <v>0</v>
      </c>
      <c r="BC209" s="101">
        <f>MAX(ROUND(IF(F209&lt;4,IF(H209=0,(SUM(Y209:AD209)*Worksheet!$E$26+Y209*Worksheet!$E$27+AR209*Worksheet!$E$39)*-BaseRate,0)),2),MIN(0,-DI209))</f>
        <v>0</v>
      </c>
      <c r="BD209" s="101">
        <f>MAX(ROUND(IF(F209=4,0,IF(I209=0,0,ROUND(SUM(Y209:AD209)*Worksheet!$E$28,2)*-BaseRate)),2),MIN(0,-DI209-BC209))</f>
        <v>0</v>
      </c>
      <c r="BE209" s="130">
        <f t="shared" si="182"/>
        <v>0</v>
      </c>
      <c r="BF209" s="130">
        <f t="shared" si="183"/>
        <v>0</v>
      </c>
      <c r="BG209" s="73"/>
      <c r="BH209" s="118">
        <f t="shared" si="184"/>
        <v>0</v>
      </c>
      <c r="BI209" s="118">
        <f t="shared" si="185"/>
        <v>0</v>
      </c>
      <c r="BJ209" s="232">
        <f>IFERROR(ROUND(IF(AND(BB209*1.12&lt;N209*60/1000,N209/CL209&lt;STVPP*0.2),(CL209*STVPP*0.2*Worksheet!$F$88/1000-BB209*1.12)*PropTaxAdj,IF(BB209*1.12&lt;N209*60/1000,(N209*60/1000-BB209*1.12)*PropTaxAdj,0)),2),0)</f>
        <v>0</v>
      </c>
      <c r="BK209" s="116">
        <f>ROUND(IF($F209=4,0,Y209*Worksheet!$E$16),2)</f>
        <v>0</v>
      </c>
      <c r="BL209" s="116">
        <f>ROUND(IF($F209=4,0,Z209*Worksheet!$E$17),2)</f>
        <v>0</v>
      </c>
      <c r="BM209" s="116">
        <f>ROUND(IF($F209=4,0,AA209*Worksheet!$E$18),2)</f>
        <v>0</v>
      </c>
      <c r="BN209" s="116">
        <f>ROUND(IF($F209=4,0,AB209*Worksheet!$E$19),2)</f>
        <v>0</v>
      </c>
      <c r="BO209" s="116">
        <f>ROUND(IF($F209=4,0,AC209*Worksheet!$E$20),2)</f>
        <v>0</v>
      </c>
      <c r="BP209" s="116">
        <f>ROUND(AD209*Worksheet!$E$21,2)</f>
        <v>0</v>
      </c>
      <c r="BQ209" s="116">
        <f t="shared" si="153"/>
        <v>0</v>
      </c>
      <c r="BR209" s="116">
        <f>ROUND(AD209*Worksheet!$E$25,2)</f>
        <v>0</v>
      </c>
      <c r="BS209" s="116">
        <f>ROUND(SUM(BQ209)*Worksheet!$E$26,2)</f>
        <v>0</v>
      </c>
      <c r="BT209" s="116">
        <f>ROUND(Y209*Worksheet!$E$27,2)</f>
        <v>0</v>
      </c>
      <c r="BU209" s="116">
        <f>ROUND(AO209*Worksheet!$E$29,2)</f>
        <v>0</v>
      </c>
      <c r="BV209" s="116">
        <f>ROUND(AP209*Worksheet!$E$30,2)</f>
        <v>0</v>
      </c>
      <c r="BW209" s="116">
        <f>ROUND(IF($I209&lt;&gt;0,$BQ209*Worksheet!$E$28,0),2)</f>
        <v>0</v>
      </c>
      <c r="BX209" s="116">
        <f>ROUND(AE209*Worksheet!$E$31,2)</f>
        <v>0</v>
      </c>
      <c r="BY209" s="116">
        <f>ROUND(AF209*Worksheet!$E$32,2)</f>
        <v>0</v>
      </c>
      <c r="BZ209" s="116">
        <f>ROUND(AG209*Worksheet!$E$33,2)</f>
        <v>0</v>
      </c>
      <c r="CA209" s="116">
        <f>ROUND(ROUND(AH209*BQ209,2)*Worksheet!$E$34,2)</f>
        <v>0</v>
      </c>
      <c r="CB209" s="116">
        <f>ROUND(AI209*Worksheet!$E$35,2)</f>
        <v>0</v>
      </c>
      <c r="CC209" s="116">
        <f>ROUND(AJ209*Worksheet!$E$36,2)</f>
        <v>0</v>
      </c>
      <c r="CD209" s="116">
        <f>ROUND(AQ209*Worksheet!$E$38,2)</f>
        <v>0</v>
      </c>
      <c r="CE209" s="116">
        <f>ROUND(AR209*Worksheet!$E$39,2)</f>
        <v>0</v>
      </c>
      <c r="CF209" s="116">
        <f>IF(AND(L209&gt;275,SUM(Y209:AD209)&lt;100),ROUND(SUM(Y209:AD209)*Worksheet!$E$41,2),0)</f>
        <v>0</v>
      </c>
      <c r="CG209" s="116">
        <f>IF(AND(L209&gt;600,SUM(Y209:AD209)&lt;50),ROUND((50-SUM(Y209:AD209))*(Worksheet!$E$41+1),2),0)</f>
        <v>0</v>
      </c>
      <c r="CH209" s="116">
        <f t="shared" si="154"/>
        <v>0</v>
      </c>
      <c r="CI209" s="116">
        <f t="shared" si="178"/>
        <v>0</v>
      </c>
      <c r="CJ209" s="116">
        <f t="shared" si="179"/>
        <v>0</v>
      </c>
      <c r="CK209" s="95">
        <f t="shared" si="186"/>
        <v>0</v>
      </c>
      <c r="CL209" s="116">
        <f t="shared" si="180"/>
        <v>0</v>
      </c>
      <c r="CM209" s="116">
        <f t="shared" si="181"/>
        <v>0</v>
      </c>
      <c r="CN209" s="116">
        <f t="shared" si="176"/>
        <v>0</v>
      </c>
      <c r="CO209" s="131">
        <f>ROUND(IF(F209=4,0,(MAX(ROUND(MAX((BI209*MIN(CL209,K209)*Worksheet!$D$126)+MAX(CL209-K209,0)*Worksheet!$F$50,SUM(J209)),2),SUM(CN209))-SUM(CN209))*MinAdj),2)</f>
        <v>0</v>
      </c>
      <c r="CP209" s="116">
        <f t="shared" si="177"/>
        <v>0</v>
      </c>
      <c r="CQ209" s="131">
        <f>IF(CL209=0,0,-MIN(CP209,MIN(CP209,ROUND(IF(ROUND(IF(CL209=0,0,N209/CL209),2)&lt;STVPP*0.2,STVPP*0.2*CL209*Worksheet!$F$88/1000,N209*Worksheet!$F$88/1000),2))))</f>
        <v>0</v>
      </c>
      <c r="CR209" s="131">
        <f>-MIN(SUM(CP209,CQ209),IF($P209=0,(ROUND(Worksheet!$E$77*S209,2)+ROUND(Worksheet!$E$78*T209,2)+ROUND(Worksheet!$E$79*U209,2)+ROUND(Worksheet!$E$80*V209,2)+ROUND(Worksheet!$E$81*W209,2)+ROUND(Worksheet!$E$82*X209,2)),(ROUND(ROUND(S209*ROUND((1-$O209/$P209),4),2)*Worksheet!$E$77,2)+ROUND(ROUND(T209*ROUND((1-$O209/$P209),4),2)*Worksheet!$E$78,2)+ROUND(ROUND(U209*ROUND((1-$O209/$P209),4),2)*Worksheet!$E$79,2)+ROUND(ROUND(V209*ROUND((1-$O209/$P209),4),2)*Worksheet!$E$80,2)+ROUND(ROUND(W209*ROUND((1-$O209/$P209),4),2)*Worksheet!$E$81,2)+ROUND(ROUND(X209*ROUND((1-$O209/$P209),4),2)*Worksheet!$E$82,2))))</f>
        <v>0</v>
      </c>
      <c r="CS209" s="116">
        <f t="shared" si="155"/>
        <v>0</v>
      </c>
      <c r="CT209" s="116">
        <f>ROUND(MIN(BA209,ROUND((ROUND(AS209*Worksheet!$E$104,2)+ROUND(AV209*Worksheet!$E$107,2)+ROUND(AT209*Worksheet!$E$105,2)+ROUND(AW209*Worksheet!$E$108,2)+ROUND(AU209*Worksheet!$E$106,2)+ROUND(AX209*Worksheet!$E$109,2)+ROUND(AY209*Worksheet!$E$110,2)+ROUND(AZ209*Worksheet!$E$111,2))*Worksheet!$D$114,2))*BaseRate,2)</f>
        <v>0</v>
      </c>
      <c r="CU209" s="121">
        <v>0</v>
      </c>
      <c r="CV209" s="121">
        <v>0</v>
      </c>
      <c r="CW209" s="121">
        <v>0</v>
      </c>
      <c r="CX209" s="121">
        <v>0</v>
      </c>
      <c r="CY209" s="121">
        <v>0</v>
      </c>
      <c r="DA209" s="116">
        <f t="shared" si="156"/>
        <v>0</v>
      </c>
      <c r="DB209" s="116">
        <f>MAX(-CT209,MIN(0,ROUND($R209*EFBPercent+EFBAdd,2)-$Q209),MIN(0,SUM($CS209:CS209)+MIN(0,ROUND($R209*EFBPercent+EFBAdd,2)-$Q209)))</f>
        <v>0</v>
      </c>
      <c r="DC209" s="192">
        <f>IF(CU209&lt;0,0,MAX(-CU209,MIN(0,ROUND($R209*EFBPercent+EFBAdd,2)-$Q209),MIN(0,SUM($CS209:CT209)+MIN(0,ROUND($R209*EFBPercent+EFBAdd,2)-$Q209))))</f>
        <v>0</v>
      </c>
      <c r="DD209" s="192">
        <f>IF(CV209&lt;0,0,MAX(-CV209,MIN(0,ROUND($R209*EFBPercent+EFBAdd,2)-$Q209),MIN(0,SUM($CS209:CU209)+MIN(0,ROUND($R209*EFBPercent+EFBAdd,2)-$Q209))))</f>
        <v>0</v>
      </c>
      <c r="DE209" s="192">
        <f>IF(CW209&lt;0,0,MAX(-CW209,MIN(0,ROUND($R209*EFBPercent+EFBAdd,2)-$Q209),MIN(0,SUM($CS209:CV209)+MIN(0,ROUND($R209*EFBPercent+EFBAdd,2)-$Q209))))</f>
        <v>0</v>
      </c>
      <c r="DF209" s="192">
        <f>IF(CX209&lt;0,0,MAX(-CX209,MIN(0,ROUND($R209*EFBPercent+EFBAdd,2)-$Q209),MIN(0,SUM($CS209:CW209)+MIN(0,ROUND($R209*EFBPercent+EFBAdd,2)-$Q209))))</f>
        <v>0</v>
      </c>
      <c r="DG209" s="116">
        <f>MAX(-CY209,MIN(0,ROUND($R209*EFBPercent+EFBAdd,2)-$Q209),MIN(0,SUM($CS209:CX209)+MIN(0,ROUND($R209*EFBPercent+EFBAdd,2)-$Q209)))</f>
        <v>0</v>
      </c>
      <c r="DI209" s="73">
        <f t="shared" si="157"/>
        <v>0</v>
      </c>
      <c r="DJ209" s="73">
        <f t="shared" si="158"/>
        <v>0</v>
      </c>
      <c r="DK209" s="73">
        <f t="shared" si="159"/>
        <v>0</v>
      </c>
      <c r="DL209" s="73">
        <f t="shared" si="160"/>
        <v>0</v>
      </c>
      <c r="DM209" s="73">
        <f t="shared" si="161"/>
        <v>0</v>
      </c>
      <c r="DN209" s="73">
        <f t="shared" si="162"/>
        <v>0</v>
      </c>
      <c r="DO209" s="73">
        <f t="shared" si="163"/>
        <v>0</v>
      </c>
      <c r="DP209" s="73"/>
      <c r="DQ209" s="73"/>
    </row>
    <row r="210" spans="1:121" ht="10.199999999999999" x14ac:dyDescent="0.2">
      <c r="A210" s="4" t="s">
        <v>686</v>
      </c>
      <c r="B210" s="72">
        <v>2533</v>
      </c>
      <c r="C210" s="123" t="s">
        <v>202</v>
      </c>
      <c r="D210" s="4">
        <v>2027</v>
      </c>
      <c r="E210" s="4" t="s">
        <v>1053</v>
      </c>
      <c r="F210" s="4">
        <v>7</v>
      </c>
      <c r="G210" s="4" t="s">
        <v>686</v>
      </c>
      <c r="H210" s="4">
        <v>0</v>
      </c>
      <c r="I210" s="4">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f t="shared" si="187"/>
        <v>0</v>
      </c>
      <c r="AP210" s="5">
        <v>0</v>
      </c>
      <c r="AQ210" s="5">
        <v>0</v>
      </c>
      <c r="AR210" s="5">
        <v>0</v>
      </c>
      <c r="AS210" s="5">
        <v>0</v>
      </c>
      <c r="AT210" s="5">
        <v>0</v>
      </c>
      <c r="AU210" s="5">
        <v>0</v>
      </c>
      <c r="AV210" s="5">
        <v>0</v>
      </c>
      <c r="AW210" s="5">
        <v>0</v>
      </c>
      <c r="AX210" s="5">
        <v>0</v>
      </c>
      <c r="AY210" s="199">
        <v>0</v>
      </c>
      <c r="AZ210" s="199">
        <v>0</v>
      </c>
      <c r="BA210" s="5">
        <v>353.43</v>
      </c>
      <c r="BB210" s="13">
        <v>0</v>
      </c>
      <c r="BC210" s="101">
        <f>MAX(ROUND(IF(F210&lt;4,IF(H210=0,(SUM(Y210:AD210)*Worksheet!$E$26+Y210*Worksheet!$E$27+AR210*Worksheet!$E$39)*-BaseRate,0)),2),MIN(0,-DI210))</f>
        <v>0</v>
      </c>
      <c r="BD210" s="101">
        <f>MAX(ROUND(IF(F210=4,0,IF(I210=0,0,ROUND(SUM(Y210:AD210)*Worksheet!$E$28,2)*-BaseRate)),2),MIN(0,-DI210-BC210))</f>
        <v>0</v>
      </c>
      <c r="BE210" s="130">
        <f t="shared" si="182"/>
        <v>0</v>
      </c>
      <c r="BF210" s="130">
        <f t="shared" si="183"/>
        <v>0</v>
      </c>
      <c r="BG210" s="73"/>
      <c r="BH210" s="118">
        <f t="shared" si="184"/>
        <v>0</v>
      </c>
      <c r="BI210" s="118">
        <f t="shared" si="185"/>
        <v>0</v>
      </c>
      <c r="BJ210" s="232">
        <f>IFERROR(ROUND(IF(AND(BB210*1.12&lt;N210*60/1000,N210/CL210&lt;STVPP*0.2),(CL210*STVPP*0.2*Worksheet!$F$88/1000-BB210*1.12)*PropTaxAdj,IF(BB210*1.12&lt;N210*60/1000,(N210*60/1000-BB210*1.12)*PropTaxAdj,0)),2),0)</f>
        <v>0</v>
      </c>
      <c r="BK210" s="116">
        <f>ROUND(IF($F210=4,0,Y210*Worksheet!$E$16),2)</f>
        <v>0</v>
      </c>
      <c r="BL210" s="116">
        <f>ROUND(IF($F210=4,0,Z210*Worksheet!$E$17),2)</f>
        <v>0</v>
      </c>
      <c r="BM210" s="116">
        <f>ROUND(IF($F210=4,0,AA210*Worksheet!$E$18),2)</f>
        <v>0</v>
      </c>
      <c r="BN210" s="116">
        <f>ROUND(IF($F210=4,0,AB210*Worksheet!$E$19),2)</f>
        <v>0</v>
      </c>
      <c r="BO210" s="116">
        <f>ROUND(IF($F210=4,0,AC210*Worksheet!$E$20),2)</f>
        <v>0</v>
      </c>
      <c r="BP210" s="116">
        <f>ROUND(AD210*Worksheet!$E$21,2)</f>
        <v>0</v>
      </c>
      <c r="BQ210" s="116">
        <f t="shared" si="153"/>
        <v>0</v>
      </c>
      <c r="BR210" s="116">
        <f>ROUND(AD210*Worksheet!$E$25,2)</f>
        <v>0</v>
      </c>
      <c r="BS210" s="116">
        <f>ROUND(SUM(BQ210)*Worksheet!$E$26,2)</f>
        <v>0</v>
      </c>
      <c r="BT210" s="116">
        <f>ROUND(Y210*Worksheet!$E$27,2)</f>
        <v>0</v>
      </c>
      <c r="BU210" s="116">
        <f>ROUND(AO210*Worksheet!$E$29,2)</f>
        <v>0</v>
      </c>
      <c r="BV210" s="116">
        <f>ROUND(AP210*Worksheet!$E$30,2)</f>
        <v>0</v>
      </c>
      <c r="BW210" s="116">
        <f>ROUND(IF($I210&lt;&gt;0,$BQ210*Worksheet!$E$28,0),2)</f>
        <v>0</v>
      </c>
      <c r="BX210" s="116">
        <f>ROUND(AE210*Worksheet!$E$31,2)</f>
        <v>0</v>
      </c>
      <c r="BY210" s="116">
        <f>ROUND(AF210*Worksheet!$E$32,2)</f>
        <v>0</v>
      </c>
      <c r="BZ210" s="116">
        <f>ROUND(AG210*Worksheet!$E$33,2)</f>
        <v>0</v>
      </c>
      <c r="CA210" s="116">
        <f>ROUND(ROUND(AH210*BQ210,2)*Worksheet!$E$34,2)</f>
        <v>0</v>
      </c>
      <c r="CB210" s="116">
        <f>ROUND(AI210*Worksheet!$E$35,2)</f>
        <v>0</v>
      </c>
      <c r="CC210" s="116">
        <f>ROUND(AJ210*Worksheet!$E$36,2)</f>
        <v>0</v>
      </c>
      <c r="CD210" s="116">
        <f>ROUND(AQ210*Worksheet!$E$38,2)</f>
        <v>0</v>
      </c>
      <c r="CE210" s="116">
        <f>ROUND(AR210*Worksheet!$E$39,2)</f>
        <v>0</v>
      </c>
      <c r="CF210" s="116">
        <f>IF(AND(L210&gt;275,SUM(Y210:AD210)&lt;100),ROUND(SUM(Y210:AD210)*Worksheet!$E$41,2),0)</f>
        <v>0</v>
      </c>
      <c r="CG210" s="116">
        <f>IF(AND(L210&gt;600,SUM(Y210:AD210)&lt;50),ROUND((50-SUM(Y210:AD210))*(Worksheet!$E$41+1),2),0)</f>
        <v>0</v>
      </c>
      <c r="CH210" s="116">
        <f t="shared" si="154"/>
        <v>0</v>
      </c>
      <c r="CI210" s="116">
        <f t="shared" si="178"/>
        <v>0</v>
      </c>
      <c r="CJ210" s="116">
        <f t="shared" si="179"/>
        <v>0</v>
      </c>
      <c r="CK210" s="95">
        <f t="shared" si="186"/>
        <v>0</v>
      </c>
      <c r="CL210" s="116">
        <f t="shared" si="180"/>
        <v>0</v>
      </c>
      <c r="CM210" s="116">
        <f t="shared" si="181"/>
        <v>0</v>
      </c>
      <c r="CN210" s="116">
        <f t="shared" si="176"/>
        <v>0</v>
      </c>
      <c r="CO210" s="131">
        <f>ROUND(IF(F210=4,0,(MAX(ROUND(MAX((BI210*MIN(CL210,K210)*Worksheet!$D$126)+MAX(CL210-K210,0)*Worksheet!$F$50,SUM(J210)),2),SUM(CN210))-SUM(CN210))*MinAdj),2)</f>
        <v>0</v>
      </c>
      <c r="CP210" s="116">
        <f t="shared" si="177"/>
        <v>0</v>
      </c>
      <c r="CQ210" s="131">
        <f>IF(CL210=0,0,-MIN(CP210,MIN(CP210,ROUND(IF(ROUND(IF(CL210=0,0,N210/CL210),2)&lt;STVPP*0.2,STVPP*0.2*CL210*Worksheet!$F$88/1000,N210*Worksheet!$F$88/1000),2))))</f>
        <v>0</v>
      </c>
      <c r="CR210" s="131">
        <f>-MIN(SUM(CP210,CQ210),IF($P210=0,(ROUND(Worksheet!$E$77*S210,2)+ROUND(Worksheet!$E$78*T210,2)+ROUND(Worksheet!$E$79*U210,2)+ROUND(Worksheet!$E$80*V210,2)+ROUND(Worksheet!$E$81*W210,2)+ROUND(Worksheet!$E$82*X210,2)),(ROUND(ROUND(S210*ROUND((1-$O210/$P210),4),2)*Worksheet!$E$77,2)+ROUND(ROUND(T210*ROUND((1-$O210/$P210),4),2)*Worksheet!$E$78,2)+ROUND(ROUND(U210*ROUND((1-$O210/$P210),4),2)*Worksheet!$E$79,2)+ROUND(ROUND(V210*ROUND((1-$O210/$P210),4),2)*Worksheet!$E$80,2)+ROUND(ROUND(W210*ROUND((1-$O210/$P210),4),2)*Worksheet!$E$81,2)+ROUND(ROUND(X210*ROUND((1-$O210/$P210),4),2)*Worksheet!$E$82,2))))</f>
        <v>0</v>
      </c>
      <c r="CS210" s="116">
        <f t="shared" si="155"/>
        <v>0</v>
      </c>
      <c r="CT210" s="116">
        <f>ROUND(MIN(BA210,ROUND((ROUND(AS210*Worksheet!$E$104,2)+ROUND(AV210*Worksheet!$E$107,2)+ROUND(AT210*Worksheet!$E$105,2)+ROUND(AW210*Worksheet!$E$108,2)+ROUND(AU210*Worksheet!$E$106,2)+ROUND(AX210*Worksheet!$E$109,2)+ROUND(AY210*Worksheet!$E$110,2)+ROUND(AZ210*Worksheet!$E$111,2))*Worksheet!$D$114,2))*BaseRate,2)</f>
        <v>0</v>
      </c>
      <c r="CU210" s="121">
        <v>0</v>
      </c>
      <c r="CV210" s="121">
        <v>0</v>
      </c>
      <c r="CW210" s="121">
        <v>0</v>
      </c>
      <c r="CX210" s="121">
        <v>0</v>
      </c>
      <c r="CY210" s="121">
        <v>0</v>
      </c>
      <c r="DA210" s="116">
        <f t="shared" si="156"/>
        <v>0</v>
      </c>
      <c r="DB210" s="116">
        <f>MAX(-CT210,MIN(0,ROUND($R210*EFBPercent+EFBAdd,2)-$Q210),MIN(0,SUM($CS210:CS210)+MIN(0,ROUND($R210*EFBPercent+EFBAdd,2)-$Q210)))</f>
        <v>0</v>
      </c>
      <c r="DC210" s="192">
        <f>IF(CU210&lt;0,0,MAX(-CU210,MIN(0,ROUND($R210*EFBPercent+EFBAdd,2)-$Q210),MIN(0,SUM($CS210:CT210)+MIN(0,ROUND($R210*EFBPercent+EFBAdd,2)-$Q210))))</f>
        <v>0</v>
      </c>
      <c r="DD210" s="192">
        <f>IF(CV210&lt;0,0,MAX(-CV210,MIN(0,ROUND($R210*EFBPercent+EFBAdd,2)-$Q210),MIN(0,SUM($CS210:CU210)+MIN(0,ROUND($R210*EFBPercent+EFBAdd,2)-$Q210))))</f>
        <v>0</v>
      </c>
      <c r="DE210" s="192">
        <f>IF(CW210&lt;0,0,MAX(-CW210,MIN(0,ROUND($R210*EFBPercent+EFBAdd,2)-$Q210),MIN(0,SUM($CS210:CV210)+MIN(0,ROUND($R210*EFBPercent+EFBAdd,2)-$Q210))))</f>
        <v>0</v>
      </c>
      <c r="DF210" s="192">
        <f>IF(CX210&lt;0,0,MAX(-CX210,MIN(0,ROUND($R210*EFBPercent+EFBAdd,2)-$Q210),MIN(0,SUM($CS210:CW210)+MIN(0,ROUND($R210*EFBPercent+EFBAdd,2)-$Q210))))</f>
        <v>0</v>
      </c>
      <c r="DG210" s="116">
        <f>MAX(-CY210,MIN(0,ROUND($R210*EFBPercent+EFBAdd,2)-$Q210),MIN(0,SUM($CS210:CX210)+MIN(0,ROUND($R210*EFBPercent+EFBAdd,2)-$Q210)))</f>
        <v>0</v>
      </c>
      <c r="DI210" s="73">
        <f t="shared" si="157"/>
        <v>0</v>
      </c>
      <c r="DJ210" s="73">
        <f t="shared" si="158"/>
        <v>0</v>
      </c>
      <c r="DK210" s="73">
        <f t="shared" si="159"/>
        <v>0</v>
      </c>
      <c r="DL210" s="73">
        <f t="shared" si="160"/>
        <v>0</v>
      </c>
      <c r="DM210" s="73">
        <f t="shared" si="161"/>
        <v>0</v>
      </c>
      <c r="DN210" s="73">
        <f t="shared" si="162"/>
        <v>0</v>
      </c>
      <c r="DO210" s="73">
        <f t="shared" si="163"/>
        <v>0</v>
      </c>
      <c r="DP210" s="73"/>
      <c r="DQ210" s="73"/>
    </row>
    <row r="211" spans="1:121" x14ac:dyDescent="0.25">
      <c r="N211" s="106"/>
      <c r="O211" s="106"/>
      <c r="P211" s="106"/>
      <c r="AH211" s="171"/>
      <c r="AU211" s="13"/>
      <c r="AX211" s="13"/>
      <c r="DI211" s="73"/>
      <c r="DJ211" s="73"/>
      <c r="DK211" s="73"/>
      <c r="DL211" s="73"/>
      <c r="DM211" s="73"/>
      <c r="DN211" s="73"/>
      <c r="DO211" s="73"/>
    </row>
    <row r="212" spans="1:121" x14ac:dyDescent="0.25">
      <c r="B212" s="73"/>
      <c r="C212" s="73"/>
      <c r="J212" s="73">
        <f t="shared" ref="J212:BD212" si="201">SUM(J5:J210)</f>
        <v>1269835437.1399996</v>
      </c>
      <c r="K212" s="73">
        <f t="shared" si="201"/>
        <v>127965.70000000003</v>
      </c>
      <c r="L212" s="73">
        <f t="shared" si="201"/>
        <v>68737.369999999981</v>
      </c>
      <c r="M212" s="73">
        <f t="shared" si="201"/>
        <v>12</v>
      </c>
      <c r="N212" s="129">
        <f t="shared" si="201"/>
        <v>6490437655</v>
      </c>
      <c r="O212" s="129">
        <f t="shared" si="201"/>
        <v>1721.6000000000001</v>
      </c>
      <c r="P212" s="129">
        <f t="shared" si="201"/>
        <v>15767.539999999997</v>
      </c>
      <c r="Q212" s="73">
        <f t="shared" si="201"/>
        <v>0</v>
      </c>
      <c r="R212" s="73">
        <f t="shared" si="201"/>
        <v>0</v>
      </c>
      <c r="S212" s="73">
        <f t="shared" si="201"/>
        <v>6092204.1000000006</v>
      </c>
      <c r="T212" s="73">
        <f t="shared" si="201"/>
        <v>36638216.700000003</v>
      </c>
      <c r="U212" s="73">
        <f t="shared" si="201"/>
        <v>36505788.330000013</v>
      </c>
      <c r="V212" s="73">
        <f t="shared" si="201"/>
        <v>15847146.570000004</v>
      </c>
      <c r="W212" s="73">
        <f t="shared" si="201"/>
        <v>3158659.0800000005</v>
      </c>
      <c r="X212" s="73">
        <f t="shared" si="201"/>
        <v>4870387.0670000017</v>
      </c>
      <c r="Y212" s="73">
        <f t="shared" si="201"/>
        <v>1288.3399999999997</v>
      </c>
      <c r="Z212" s="73">
        <f t="shared" si="201"/>
        <v>8409.7799999999988</v>
      </c>
      <c r="AA212" s="73">
        <f t="shared" si="201"/>
        <v>55199.689999999995</v>
      </c>
      <c r="AB212" s="73">
        <f t="shared" si="201"/>
        <v>18467.939999999999</v>
      </c>
      <c r="AC212" s="73">
        <f t="shared" si="201"/>
        <v>33810.360000000008</v>
      </c>
      <c r="AD212" s="73">
        <f t="shared" si="201"/>
        <v>968.92000000000019</v>
      </c>
      <c r="AE212" s="73">
        <f t="shared" si="201"/>
        <v>807.70999999999992</v>
      </c>
      <c r="AF212" s="73">
        <f t="shared" si="201"/>
        <v>990.91999999999985</v>
      </c>
      <c r="AG212" s="73">
        <f t="shared" si="201"/>
        <v>1700.9700000000003</v>
      </c>
      <c r="AH212" s="172">
        <f t="shared" si="201"/>
        <v>60.750000000000007</v>
      </c>
      <c r="AI212" s="73">
        <f t="shared" si="201"/>
        <v>50.929999999999993</v>
      </c>
      <c r="AJ212" s="73">
        <f t="shared" si="201"/>
        <v>9.26</v>
      </c>
      <c r="AK212" s="73">
        <f t="shared" si="201"/>
        <v>829.27999999999986</v>
      </c>
      <c r="AL212" s="73">
        <f t="shared" si="201"/>
        <v>116641.84</v>
      </c>
      <c r="AM212" s="73">
        <f t="shared" si="201"/>
        <v>1355.2399999999996</v>
      </c>
      <c r="AN212" s="73">
        <f t="shared" si="201"/>
        <v>116365</v>
      </c>
      <c r="AO212" s="73">
        <f t="shared" si="201"/>
        <v>493.04999999999973</v>
      </c>
      <c r="AP212" s="73">
        <f t="shared" si="201"/>
        <v>30.410000000000196</v>
      </c>
      <c r="AQ212" s="73">
        <f t="shared" si="201"/>
        <v>2610.3700000000022</v>
      </c>
      <c r="AR212" s="73">
        <f t="shared" si="201"/>
        <v>57.300000000000026</v>
      </c>
      <c r="AS212" s="73">
        <f t="shared" si="201"/>
        <v>618514.69999999995</v>
      </c>
      <c r="AT212" s="73">
        <f t="shared" si="201"/>
        <v>19600176.099999998</v>
      </c>
      <c r="AU212" s="73">
        <f t="shared" si="201"/>
        <v>28813</v>
      </c>
      <c r="AV212" s="73">
        <f t="shared" si="201"/>
        <v>536190</v>
      </c>
      <c r="AW212" s="73">
        <f t="shared" si="201"/>
        <v>68737.369999999981</v>
      </c>
      <c r="AX212" s="73">
        <f t="shared" si="201"/>
        <v>372</v>
      </c>
      <c r="AY212" s="73">
        <f t="shared" si="201"/>
        <v>346167.48</v>
      </c>
      <c r="AZ212" s="73">
        <f t="shared" si="201"/>
        <v>87130</v>
      </c>
      <c r="BA212" s="73">
        <f t="shared" si="201"/>
        <v>81007875.009999976</v>
      </c>
      <c r="BB212" s="73">
        <f t="shared" si="201"/>
        <v>373647111.74000001</v>
      </c>
      <c r="BC212" s="73">
        <f t="shared" si="201"/>
        <v>-12583829.550000001</v>
      </c>
      <c r="BD212" s="73">
        <f t="shared" si="201"/>
        <v>-2712582.9400000023</v>
      </c>
      <c r="BE212" s="130"/>
      <c r="BG212" s="73"/>
      <c r="BH212" s="99">
        <f>ROUND(IF(CM212=0,0,N212/CM212),2)</f>
        <v>46131.67</v>
      </c>
      <c r="BI212" s="118">
        <f>IF(K212=0,0,ROUND(J212/K212,2))</f>
        <v>9923.25</v>
      </c>
      <c r="BJ212" s="73"/>
      <c r="BK212" s="73">
        <f t="shared" ref="BK212:BT212" si="202">SUM(BK5:BK210)</f>
        <v>1288.3399999999997</v>
      </c>
      <c r="BL212" s="73">
        <f t="shared" si="202"/>
        <v>8409.7799999999988</v>
      </c>
      <c r="BM212" s="73">
        <f t="shared" si="202"/>
        <v>55199.689999999995</v>
      </c>
      <c r="BN212" s="73">
        <f t="shared" si="202"/>
        <v>18467.939999999999</v>
      </c>
      <c r="BO212" s="73">
        <f t="shared" si="202"/>
        <v>33810.360000000008</v>
      </c>
      <c r="BP212" s="73">
        <f t="shared" si="202"/>
        <v>968.92000000000019</v>
      </c>
      <c r="BQ212" s="73">
        <f t="shared" si="202"/>
        <v>118145.03000000006</v>
      </c>
      <c r="BR212" s="73">
        <f t="shared" si="202"/>
        <v>242.25</v>
      </c>
      <c r="BS212" s="73">
        <f t="shared" si="202"/>
        <v>10396.770000000004</v>
      </c>
      <c r="BT212" s="73">
        <f t="shared" si="202"/>
        <v>219.08999999999992</v>
      </c>
      <c r="BU212" s="73"/>
      <c r="BV212" s="73"/>
      <c r="BW212" s="73">
        <f t="shared" ref="BW212:CM212" si="203">SUM(BW5:BW210)</f>
        <v>236.32000000000002</v>
      </c>
      <c r="BX212" s="73">
        <f t="shared" si="203"/>
        <v>323.0800000000001</v>
      </c>
      <c r="BY212" s="73">
        <f t="shared" si="203"/>
        <v>277.48999999999995</v>
      </c>
      <c r="BZ212" s="73">
        <f t="shared" si="203"/>
        <v>119.0799999999999</v>
      </c>
      <c r="CA212" s="73">
        <f t="shared" si="203"/>
        <v>1036.5700000000002</v>
      </c>
      <c r="CB212" s="73">
        <f t="shared" si="203"/>
        <v>10.210000000000001</v>
      </c>
      <c r="CC212" s="73">
        <f t="shared" si="203"/>
        <v>1.39</v>
      </c>
      <c r="CD212" s="73">
        <f t="shared" si="203"/>
        <v>1566.2900000000011</v>
      </c>
      <c r="CE212" s="73">
        <f t="shared" si="203"/>
        <v>57.300000000000026</v>
      </c>
      <c r="CF212" s="73">
        <f t="shared" si="203"/>
        <v>106.98999999999998</v>
      </c>
      <c r="CG212" s="73">
        <f t="shared" si="203"/>
        <v>0</v>
      </c>
      <c r="CH212" s="73">
        <f t="shared" si="203"/>
        <v>133261.32</v>
      </c>
      <c r="CI212" s="73">
        <f t="shared" si="203"/>
        <v>829.27999999999986</v>
      </c>
      <c r="CJ212" s="73">
        <f t="shared" si="203"/>
        <v>132432.04000000004</v>
      </c>
      <c r="CK212" s="73">
        <f t="shared" si="203"/>
        <v>213.1634</v>
      </c>
      <c r="CL212" s="73">
        <f t="shared" si="203"/>
        <v>139864.47000000006</v>
      </c>
      <c r="CM212" s="73">
        <f t="shared" si="203"/>
        <v>140693.75000000006</v>
      </c>
      <c r="CN212" s="73">
        <f t="shared" ref="CN212:CY212" si="204">SUM(CN5:CN210)</f>
        <v>1636690393.7499993</v>
      </c>
      <c r="CO212" s="73">
        <f t="shared" si="204"/>
        <v>3009094.99</v>
      </c>
      <c r="CP212" s="73">
        <f t="shared" si="204"/>
        <v>1639699488.7399998</v>
      </c>
      <c r="CQ212" s="73">
        <f t="shared" si="204"/>
        <v>-390283018.46000016</v>
      </c>
      <c r="CR212" s="73">
        <f t="shared" si="204"/>
        <v>-49935224.849999979</v>
      </c>
      <c r="CS212" s="73">
        <f t="shared" si="204"/>
        <v>1199481245.4300001</v>
      </c>
      <c r="CT212" s="73">
        <f t="shared" si="204"/>
        <v>30743110.749999989</v>
      </c>
      <c r="CU212" s="73">
        <f t="shared" si="204"/>
        <v>447542.06000000006</v>
      </c>
      <c r="CV212" s="73">
        <f t="shared" si="204"/>
        <v>477894.1</v>
      </c>
      <c r="CW212" s="73">
        <f t="shared" si="204"/>
        <v>136618.02000000002</v>
      </c>
      <c r="CX212" s="73">
        <f t="shared" si="204"/>
        <v>0</v>
      </c>
      <c r="CY212" s="73">
        <f t="shared" si="204"/>
        <v>0</v>
      </c>
      <c r="DA212" s="73">
        <f t="shared" ref="DA212:DG212" si="205">SUM(DA5:DA210)</f>
        <v>0</v>
      </c>
      <c r="DB212" s="73">
        <f t="shared" si="205"/>
        <v>0</v>
      </c>
      <c r="DC212" s="73">
        <f t="shared" si="205"/>
        <v>0</v>
      </c>
      <c r="DD212" s="73">
        <f t="shared" si="205"/>
        <v>0</v>
      </c>
      <c r="DE212" s="73">
        <f t="shared" si="205"/>
        <v>0</v>
      </c>
      <c r="DF212" s="73">
        <f t="shared" si="205"/>
        <v>0</v>
      </c>
      <c r="DG212" s="73">
        <f t="shared" si="205"/>
        <v>0</v>
      </c>
      <c r="DI212" s="73">
        <f t="shared" ref="DI212:DO212" si="206">SUM(DI5:DI210)</f>
        <v>1199481245.4300001</v>
      </c>
      <c r="DJ212" s="73">
        <f t="shared" si="206"/>
        <v>30743110.749999989</v>
      </c>
      <c r="DK212" s="73">
        <f t="shared" si="206"/>
        <v>447542.06000000006</v>
      </c>
      <c r="DL212" s="73">
        <f t="shared" si="206"/>
        <v>477894.1</v>
      </c>
      <c r="DM212" s="73">
        <f t="shared" si="206"/>
        <v>136618.02000000002</v>
      </c>
      <c r="DN212" s="73">
        <f t="shared" si="206"/>
        <v>0</v>
      </c>
      <c r="DO212" s="73">
        <f t="shared" si="206"/>
        <v>0</v>
      </c>
    </row>
    <row r="213" spans="1:121" s="137" customFormat="1" x14ac:dyDescent="0.25">
      <c r="B213" s="138"/>
      <c r="C213" s="138"/>
      <c r="J213" s="138"/>
      <c r="K213" s="138"/>
      <c r="L213" s="138"/>
      <c r="M213" s="138"/>
      <c r="N213" s="139"/>
      <c r="O213" s="139"/>
      <c r="P213" s="139"/>
      <c r="Q213" s="138"/>
      <c r="R213" s="138"/>
      <c r="S213" s="138">
        <v>6432950.9899999984</v>
      </c>
      <c r="T213" s="138">
        <v>43808421.160000004</v>
      </c>
      <c r="U213" s="138">
        <v>23888615.600000001</v>
      </c>
      <c r="V213" s="138">
        <v>14619027.619999997</v>
      </c>
      <c r="W213" s="138">
        <v>14944453.700000005</v>
      </c>
      <c r="X213" s="138">
        <v>4808429.92</v>
      </c>
      <c r="Y213" s="138">
        <v>1376.0099999999995</v>
      </c>
      <c r="Z213" s="138">
        <v>8765.029999999997</v>
      </c>
      <c r="AA213" s="138">
        <v>55322.629999999976</v>
      </c>
      <c r="AB213" s="138">
        <v>17307.259999999998</v>
      </c>
      <c r="AC213" s="138">
        <v>33094.319999999985</v>
      </c>
      <c r="AD213" s="138">
        <v>745.71999999999991</v>
      </c>
      <c r="AE213" s="138">
        <v>571.02</v>
      </c>
      <c r="AF213" s="138">
        <v>757.92000000000007</v>
      </c>
      <c r="AG213" s="138">
        <v>1502.59</v>
      </c>
      <c r="AH213" s="173"/>
      <c r="AI213" s="138">
        <v>73.64</v>
      </c>
      <c r="AJ213" s="138"/>
      <c r="AK213" s="138">
        <v>616.42999999999995</v>
      </c>
      <c r="AL213" s="138">
        <v>116598</v>
      </c>
      <c r="AM213" s="138">
        <v>1592.47</v>
      </c>
      <c r="AN213" s="138">
        <v>115767</v>
      </c>
      <c r="AO213" s="138">
        <v>2106.2400000000025</v>
      </c>
      <c r="AP213" s="138"/>
      <c r="AQ213" s="138">
        <v>2435.42</v>
      </c>
      <c r="AR213" s="138">
        <v>73.95</v>
      </c>
      <c r="AS213" s="138">
        <v>750032.48</v>
      </c>
      <c r="AT213" s="138">
        <v>17570822.990000002</v>
      </c>
      <c r="AU213" s="138">
        <v>9401061</v>
      </c>
      <c r="AV213" s="138">
        <v>0</v>
      </c>
      <c r="AW213" s="138">
        <v>68918.789999999979</v>
      </c>
      <c r="AX213" s="138">
        <v>4395555</v>
      </c>
      <c r="AY213" s="138">
        <v>328556.44</v>
      </c>
      <c r="AZ213" s="138">
        <v>78126</v>
      </c>
      <c r="BA213" s="138">
        <v>77193740.609999999</v>
      </c>
      <c r="BB213" s="138">
        <v>-333589434.68000031</v>
      </c>
      <c r="BC213" s="138"/>
      <c r="BD213" s="138"/>
      <c r="BE213" s="141"/>
      <c r="BF213" s="142"/>
      <c r="BG213" s="137" t="s">
        <v>1082</v>
      </c>
      <c r="BH213" s="138">
        <v>46124</v>
      </c>
      <c r="BI213" s="138"/>
      <c r="BJ213" s="138"/>
      <c r="BK213" s="138"/>
      <c r="BL213" s="138"/>
      <c r="BM213" s="138"/>
      <c r="BN213" s="138"/>
      <c r="BO213" s="138"/>
      <c r="BR213" s="138"/>
      <c r="BS213" s="138"/>
      <c r="BT213" s="138"/>
      <c r="BU213" s="138"/>
      <c r="BV213" s="138"/>
      <c r="BW213" s="138"/>
      <c r="BX213" s="138"/>
      <c r="BY213" s="138"/>
      <c r="BZ213" s="138"/>
      <c r="CA213" s="138"/>
      <c r="CB213" s="138"/>
      <c r="CC213" s="138"/>
      <c r="CD213" s="138"/>
      <c r="CE213" s="138"/>
      <c r="CF213" s="138"/>
      <c r="CG213" s="138"/>
      <c r="CH213" s="138"/>
      <c r="CI213" s="138"/>
      <c r="CJ213" s="138"/>
      <c r="CK213" s="138"/>
      <c r="CL213" s="138"/>
      <c r="CM213" s="138"/>
      <c r="CN213" s="138"/>
      <c r="CO213" s="138"/>
      <c r="CP213" s="138"/>
      <c r="CQ213" s="138"/>
      <c r="CS213" s="138"/>
      <c r="CT213" s="138"/>
      <c r="CU213" s="138"/>
      <c r="CV213" s="138"/>
      <c r="CW213" s="138"/>
      <c r="CX213" s="138"/>
      <c r="CY213" s="138"/>
      <c r="DA213" s="138"/>
      <c r="DB213" s="138"/>
      <c r="DC213" s="138"/>
      <c r="DD213" s="138"/>
      <c r="DE213" s="138"/>
      <c r="DF213" s="138"/>
      <c r="DG213" s="138"/>
      <c r="DI213" s="138"/>
      <c r="DJ213" s="138"/>
      <c r="DK213" s="138"/>
      <c r="DL213" s="138"/>
      <c r="DM213" s="138"/>
      <c r="DN213" s="138"/>
      <c r="DO213" s="138"/>
    </row>
    <row r="214" spans="1:121" s="137" customFormat="1" x14ac:dyDescent="0.25">
      <c r="B214" s="138"/>
      <c r="C214" s="138"/>
      <c r="J214" s="138"/>
      <c r="K214" s="138"/>
      <c r="L214" s="138"/>
      <c r="M214" s="138"/>
      <c r="N214" s="139"/>
      <c r="O214" s="139"/>
      <c r="P214" s="139"/>
      <c r="Q214" s="138"/>
      <c r="R214" s="138"/>
      <c r="S214" s="138"/>
      <c r="T214" s="138">
        <f t="shared" ref="T214:V214" si="207">T213-T212</f>
        <v>7170204.4600000009</v>
      </c>
      <c r="U214" s="138">
        <f t="shared" si="207"/>
        <v>-12617172.730000012</v>
      </c>
      <c r="V214" s="138">
        <f t="shared" si="207"/>
        <v>-1228118.9500000067</v>
      </c>
      <c r="W214" s="138">
        <f>W213-W212</f>
        <v>11785794.620000005</v>
      </c>
      <c r="X214" s="138">
        <f>X213-X212</f>
        <v>-61957.147000001743</v>
      </c>
      <c r="Y214" s="138">
        <f>Y213-Y212</f>
        <v>87.669999999999845</v>
      </c>
      <c r="Z214" s="138">
        <f t="shared" ref="Z214:AC214" si="208">Z213-Z212</f>
        <v>355.24999999999818</v>
      </c>
      <c r="AA214" s="138">
        <f t="shared" si="208"/>
        <v>122.9399999999805</v>
      </c>
      <c r="AB214" s="138">
        <f t="shared" si="208"/>
        <v>-1160.6800000000003</v>
      </c>
      <c r="AC214" s="138">
        <f t="shared" si="208"/>
        <v>-716.0400000000227</v>
      </c>
      <c r="AD214" s="138">
        <f t="shared" ref="AD214" si="209">AD213-AD212</f>
        <v>-223.20000000000027</v>
      </c>
      <c r="AE214" s="138">
        <f t="shared" ref="AE214" si="210">AE213-AE212</f>
        <v>-236.68999999999994</v>
      </c>
      <c r="AF214" s="138">
        <f t="shared" ref="AF214" si="211">AF213-AF212</f>
        <v>-232.99999999999977</v>
      </c>
      <c r="AG214" s="138">
        <f t="shared" ref="AG214" si="212">AG213-AG212</f>
        <v>-198.38000000000034</v>
      </c>
      <c r="AH214" s="140"/>
      <c r="AI214" s="138"/>
      <c r="AJ214" s="138"/>
      <c r="AK214" s="138"/>
      <c r="AL214" s="138"/>
      <c r="AM214" s="138"/>
      <c r="AN214" s="138"/>
      <c r="AO214" s="138"/>
      <c r="AP214" s="138"/>
      <c r="AQ214" s="138"/>
      <c r="AR214" s="138"/>
      <c r="AS214" s="138">
        <f>AS212-AS213</f>
        <v>-131517.78000000003</v>
      </c>
      <c r="AT214" s="138">
        <f t="shared" ref="AT214:AZ214" si="213">AT212-AT213</f>
        <v>2029353.1099999957</v>
      </c>
      <c r="AU214" s="138">
        <f t="shared" si="213"/>
        <v>-9372248</v>
      </c>
      <c r="AV214" s="138">
        <f t="shared" si="213"/>
        <v>536190</v>
      </c>
      <c r="AW214" s="138">
        <f t="shared" si="213"/>
        <v>-181.41999999999825</v>
      </c>
      <c r="AX214" s="138">
        <f t="shared" si="213"/>
        <v>-4395183</v>
      </c>
      <c r="AY214" s="138">
        <f t="shared" si="213"/>
        <v>17611.039999999979</v>
      </c>
      <c r="AZ214" s="138">
        <f t="shared" si="213"/>
        <v>9004</v>
      </c>
      <c r="BA214" s="138"/>
      <c r="BB214" s="138"/>
      <c r="BC214" s="138"/>
      <c r="BD214" s="138"/>
      <c r="BE214" s="141"/>
      <c r="BF214" s="142"/>
      <c r="BH214" s="138"/>
      <c r="BI214" s="138"/>
      <c r="BJ214" s="138"/>
      <c r="BK214" s="138"/>
      <c r="BL214" s="138"/>
      <c r="BM214" s="138"/>
      <c r="BN214" s="138"/>
      <c r="BO214" s="138"/>
      <c r="BR214" s="138"/>
      <c r="BS214" s="138"/>
      <c r="BT214" s="138"/>
      <c r="BU214" s="138"/>
      <c r="BV214" s="138"/>
      <c r="BW214" s="138"/>
      <c r="BX214" s="138"/>
      <c r="BY214" s="138"/>
      <c r="BZ214" s="138"/>
      <c r="CA214" s="138"/>
      <c r="CB214" s="138"/>
      <c r="CC214" s="138"/>
      <c r="CD214" s="138"/>
      <c r="CE214" s="138"/>
      <c r="CF214" s="138"/>
      <c r="CG214" s="138"/>
      <c r="CH214" s="138"/>
      <c r="CI214" s="138"/>
      <c r="CJ214" s="138"/>
      <c r="CK214" s="138"/>
      <c r="CL214" s="138"/>
      <c r="CM214" s="138"/>
      <c r="CN214" s="138"/>
      <c r="CO214" s="138"/>
      <c r="CP214" s="138"/>
      <c r="CQ214" s="138"/>
      <c r="CS214" s="138"/>
      <c r="CT214" s="138"/>
      <c r="CU214" s="138"/>
      <c r="CV214" s="138"/>
      <c r="CW214" s="138"/>
      <c r="CX214" s="138"/>
      <c r="CY214" s="138"/>
      <c r="DA214" s="138"/>
      <c r="DB214" s="138"/>
      <c r="DC214" s="138"/>
      <c r="DD214" s="138"/>
      <c r="DE214" s="138"/>
      <c r="DF214" s="138"/>
      <c r="DG214" s="138"/>
      <c r="DI214" s="138"/>
      <c r="DJ214" s="138"/>
      <c r="DK214" s="138"/>
      <c r="DL214" s="138"/>
      <c r="DM214" s="138"/>
      <c r="DN214" s="138"/>
      <c r="DO214" s="138"/>
    </row>
    <row r="215" spans="1:121" s="137" customFormat="1" x14ac:dyDescent="0.25">
      <c r="B215" s="138"/>
      <c r="C215" s="138"/>
      <c r="J215" s="138"/>
      <c r="K215" s="138"/>
      <c r="L215" s="138"/>
      <c r="M215" s="216"/>
      <c r="N215" s="139"/>
      <c r="O215" s="139"/>
      <c r="P215" s="139"/>
      <c r="Q215" s="138"/>
      <c r="R215" s="138"/>
      <c r="S215" s="138"/>
      <c r="T215" s="216"/>
      <c r="U215" s="138"/>
      <c r="V215" s="138"/>
      <c r="W215" s="138"/>
      <c r="X215" s="138"/>
      <c r="Y215" s="138"/>
      <c r="Z215" s="138"/>
      <c r="AA215" s="138"/>
      <c r="AB215" s="138"/>
      <c r="AC215" s="138"/>
      <c r="AD215" s="138"/>
      <c r="AE215" s="138"/>
      <c r="AF215" s="138"/>
      <c r="AG215" s="138"/>
      <c r="AH215" s="140"/>
      <c r="AI215" s="138"/>
      <c r="AJ215" s="138"/>
      <c r="AK215" s="138"/>
      <c r="AL215" s="138"/>
      <c r="AM215" s="138"/>
      <c r="AN215" s="138"/>
      <c r="AO215" s="138"/>
      <c r="AP215" s="138"/>
      <c r="AQ215" s="138"/>
      <c r="AR215" s="138"/>
      <c r="AS215" s="138"/>
      <c r="AT215" s="138"/>
      <c r="AU215" s="138"/>
      <c r="AV215" s="138"/>
      <c r="AW215" s="138"/>
      <c r="AX215" s="138"/>
      <c r="AY215" s="138">
        <f>COUNTIF(AY5:AY210,"&gt;0")</f>
        <v>22</v>
      </c>
      <c r="AZ215" s="138"/>
      <c r="BA215" s="216"/>
      <c r="BB215" s="138"/>
      <c r="BC215" s="138"/>
      <c r="BD215" s="138"/>
      <c r="BE215" s="141"/>
      <c r="BF215" s="142"/>
      <c r="BH215" s="138"/>
      <c r="BI215" s="138"/>
      <c r="BJ215" s="138"/>
      <c r="BK215" s="138"/>
      <c r="BL215" s="138"/>
      <c r="BM215" s="138"/>
      <c r="BN215" s="138"/>
      <c r="BO215" s="138"/>
      <c r="BQ215" s="138"/>
      <c r="BR215" s="138"/>
      <c r="BS215" s="138"/>
      <c r="BT215" s="138"/>
      <c r="BU215" s="138"/>
      <c r="BV215" s="138"/>
      <c r="BW215" s="138"/>
      <c r="BX215" s="138"/>
      <c r="BY215" s="138"/>
      <c r="BZ215" s="138"/>
      <c r="CA215" s="138"/>
      <c r="CC215" s="138"/>
      <c r="CD215" s="138"/>
      <c r="CE215" s="138"/>
      <c r="CF215" s="138"/>
      <c r="CG215" s="138"/>
      <c r="CH215" s="138"/>
      <c r="CI215" s="138"/>
      <c r="CJ215" s="138"/>
      <c r="CK215" s="138"/>
      <c r="CL215" s="138"/>
      <c r="CM215" s="138"/>
      <c r="CN215" s="138"/>
      <c r="CO215" s="138"/>
      <c r="CP215" s="138"/>
      <c r="CQ215" s="138"/>
      <c r="CS215" s="138"/>
      <c r="CT215" s="138"/>
      <c r="CU215" s="138"/>
      <c r="CV215" s="138"/>
      <c r="CW215" s="138"/>
      <c r="CX215" s="138"/>
      <c r="CY215" s="138"/>
      <c r="DA215" s="138"/>
      <c r="DB215" s="138"/>
      <c r="DC215" s="138"/>
      <c r="DD215" s="138"/>
      <c r="DE215" s="138"/>
      <c r="DF215" s="138"/>
      <c r="DG215" s="138"/>
      <c r="DI215" s="138"/>
      <c r="DJ215" s="138"/>
      <c r="DK215" s="138"/>
      <c r="DL215" s="138"/>
      <c r="DM215" s="138"/>
      <c r="DN215" s="138"/>
      <c r="DO215" s="138"/>
    </row>
    <row r="216" spans="1:121" x14ac:dyDescent="0.25">
      <c r="B216" s="73"/>
      <c r="C216" s="73"/>
      <c r="J216" s="73"/>
      <c r="K216" s="73"/>
      <c r="L216" s="73"/>
      <c r="M216" s="73"/>
      <c r="Q216" s="73"/>
      <c r="R216" s="129"/>
      <c r="S216" s="73"/>
      <c r="T216" s="73"/>
      <c r="U216" s="73"/>
      <c r="V216" s="73"/>
      <c r="W216" s="73"/>
      <c r="X216" s="73"/>
      <c r="Y216" s="73"/>
      <c r="Z216" s="73"/>
      <c r="AA216" s="73"/>
      <c r="AB216" s="73"/>
      <c r="AC216" s="73"/>
      <c r="AD216" s="73"/>
      <c r="AE216" s="73"/>
      <c r="AF216" s="73"/>
      <c r="AG216" s="73"/>
      <c r="AH216" s="135"/>
      <c r="AI216" s="73"/>
      <c r="AJ216" s="73"/>
      <c r="AK216" s="73"/>
      <c r="AL216" s="73"/>
      <c r="AM216" s="73"/>
      <c r="AN216" s="73"/>
      <c r="AO216" s="73"/>
      <c r="AP216" s="73"/>
      <c r="AQ216" s="73"/>
      <c r="AR216" s="73"/>
      <c r="AS216" s="73"/>
      <c r="AT216" s="73"/>
      <c r="AU216" s="73"/>
      <c r="AV216" s="73"/>
      <c r="AW216" s="73"/>
      <c r="AX216" s="73"/>
      <c r="AY216" s="73">
        <v>0</v>
      </c>
      <c r="AZ216" s="73"/>
      <c r="BA216" s="73"/>
      <c r="BB216" s="73"/>
      <c r="BC216" s="73"/>
      <c r="BD216" s="73"/>
      <c r="BE216" s="130"/>
      <c r="BH216" s="143"/>
      <c r="BI216" s="118"/>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S216" s="73"/>
      <c r="CT216" s="73"/>
      <c r="CU216" s="73"/>
      <c r="CV216" s="73"/>
      <c r="CW216" s="73"/>
      <c r="CX216" s="73"/>
      <c r="CY216" s="73"/>
      <c r="DA216" s="73"/>
      <c r="DB216" s="73"/>
      <c r="DC216" s="73"/>
      <c r="DD216" s="73"/>
      <c r="DE216" s="73"/>
      <c r="DF216" s="73"/>
      <c r="DG216" s="73"/>
      <c r="DI216" s="73"/>
      <c r="DJ216" s="73"/>
      <c r="DK216" s="73"/>
      <c r="DL216" s="73"/>
      <c r="DM216" s="73"/>
      <c r="DN216" s="73"/>
      <c r="DO216" s="73"/>
    </row>
    <row r="217" spans="1:121" ht="10.199999999999999" x14ac:dyDescent="0.2">
      <c r="A217" s="4"/>
      <c r="B217" s="72"/>
      <c r="D217" s="4"/>
      <c r="E217" s="4"/>
      <c r="F217" s="4"/>
      <c r="G217" s="4"/>
      <c r="H217" s="4"/>
      <c r="I217" s="110"/>
      <c r="N217" s="106"/>
      <c r="O217" s="106"/>
      <c r="P217" s="106"/>
      <c r="AU217" s="13"/>
      <c r="AX217" s="13"/>
      <c r="BE217" s="130"/>
      <c r="BF217" s="130"/>
      <c r="BG217" s="73"/>
      <c r="BH217" s="118"/>
      <c r="BI217" s="118"/>
      <c r="BJ217" s="118"/>
      <c r="BK217" s="116"/>
      <c r="BL217" s="116"/>
      <c r="BM217" s="116"/>
      <c r="BN217" s="116"/>
      <c r="BO217" s="116"/>
      <c r="BP217" s="116"/>
      <c r="BQ217" s="116"/>
      <c r="BR217" s="116"/>
      <c r="BS217" s="116"/>
      <c r="BT217" s="116"/>
      <c r="BU217" s="116"/>
      <c r="BV217" s="116"/>
      <c r="BW217" s="116"/>
      <c r="BX217" s="116"/>
      <c r="BY217" s="116"/>
      <c r="BZ217" s="116"/>
      <c r="CA217" s="116"/>
      <c r="CB217" s="116"/>
      <c r="CC217" s="116"/>
      <c r="CD217" s="116"/>
      <c r="CE217" s="116"/>
      <c r="CF217" s="116"/>
      <c r="CG217" s="116"/>
      <c r="CH217" s="116"/>
      <c r="CI217" s="116"/>
      <c r="CJ217" s="116"/>
      <c r="CK217" s="95"/>
      <c r="CL217" s="116"/>
      <c r="CM217" s="116"/>
      <c r="CN217" s="116"/>
      <c r="CO217" s="116"/>
      <c r="CP217" s="116"/>
      <c r="CQ217" s="116"/>
      <c r="CR217" s="116"/>
      <c r="CS217" s="116"/>
      <c r="CT217" s="116"/>
      <c r="CU217" s="121"/>
      <c r="CV217" s="121"/>
      <c r="CW217" s="121"/>
      <c r="CX217" s="121"/>
      <c r="CY217" s="121"/>
      <c r="DA217" s="116"/>
      <c r="DB217" s="116"/>
      <c r="DC217" s="116"/>
      <c r="DD217" s="116"/>
      <c r="DE217" s="116"/>
      <c r="DF217" s="116"/>
      <c r="DG217" s="116"/>
      <c r="DI217" s="73"/>
      <c r="DJ217" s="73"/>
      <c r="DK217" s="73"/>
      <c r="DL217" s="73"/>
      <c r="DM217" s="73"/>
      <c r="DN217" s="73"/>
      <c r="DO217" s="73"/>
    </row>
    <row r="218" spans="1:121" ht="10.199999999999999" x14ac:dyDescent="0.2">
      <c r="A218" s="4"/>
      <c r="B218" s="72"/>
      <c r="D218" s="4">
        <v>1</v>
      </c>
      <c r="E218" s="4" t="s">
        <v>911</v>
      </c>
      <c r="F218" s="4">
        <f>COUNTIF($F$5:$F$210,D218)</f>
        <v>146</v>
      </c>
      <c r="G218" s="4"/>
      <c r="H218" s="4"/>
      <c r="I218" s="110" t="s">
        <v>1025</v>
      </c>
      <c r="J218" s="13">
        <v>969501113.06999969</v>
      </c>
      <c r="K218" s="13">
        <v>113107.33999999998</v>
      </c>
      <c r="L218" s="13">
        <v>69550.76999999999</v>
      </c>
      <c r="M218" s="13">
        <v>9</v>
      </c>
      <c r="N218" s="106">
        <v>3672348894</v>
      </c>
      <c r="O218" s="106"/>
      <c r="P218" s="106"/>
      <c r="Q218" s="13">
        <v>314471425.5800001</v>
      </c>
      <c r="R218" s="13">
        <v>1448335697.5399995</v>
      </c>
      <c r="S218" s="13">
        <v>14084450.009999998</v>
      </c>
      <c r="T218" s="13">
        <v>35957286.57</v>
      </c>
      <c r="U218" s="13">
        <v>2508201.98</v>
      </c>
      <c r="V218" s="13">
        <v>4318351.4399999995</v>
      </c>
      <c r="W218" s="13">
        <v>6398761.8199999984</v>
      </c>
      <c r="X218" s="13">
        <v>4805328.4600000009</v>
      </c>
      <c r="Y218" s="13">
        <v>1151.0900000000001</v>
      </c>
      <c r="Z218" s="13">
        <v>8977.2499999999982</v>
      </c>
      <c r="AA218" s="13">
        <v>51225.38999999997</v>
      </c>
      <c r="AB218" s="13">
        <v>15631.410000000003</v>
      </c>
      <c r="AC218" s="13">
        <v>29171.759999999987</v>
      </c>
      <c r="AD218" s="13">
        <v>775.05000000000007</v>
      </c>
      <c r="AE218" s="13">
        <v>285.95999999999998</v>
      </c>
      <c r="AF218" s="13">
        <v>446.28999999999985</v>
      </c>
      <c r="AG218" s="13">
        <v>818.09000000000015</v>
      </c>
      <c r="AH218" s="133">
        <v>68.958999999999989</v>
      </c>
      <c r="AI218" s="13">
        <v>49.27</v>
      </c>
      <c r="AJ218" s="13">
        <v>15.07</v>
      </c>
      <c r="AQ218" s="13">
        <v>1966.48</v>
      </c>
      <c r="AR218" s="13">
        <v>46.65</v>
      </c>
      <c r="AU218" s="13"/>
      <c r="AX218" s="13"/>
      <c r="BA218" s="13">
        <v>56672635.75</v>
      </c>
      <c r="BB218" s="13">
        <v>200372188.68000001</v>
      </c>
      <c r="BC218" s="101">
        <v>0</v>
      </c>
      <c r="BD218" s="101">
        <v>0</v>
      </c>
      <c r="BE218" s="130">
        <v>0</v>
      </c>
      <c r="BF218" s="130">
        <v>0</v>
      </c>
      <c r="BG218" s="73"/>
      <c r="BH218" s="118">
        <v>29879.09</v>
      </c>
      <c r="BI218" s="118">
        <v>8571.51</v>
      </c>
      <c r="BJ218" s="118"/>
      <c r="BK218" s="116">
        <v>936.81999999999994</v>
      </c>
      <c r="BL218" s="116">
        <v>9138</v>
      </c>
      <c r="BM218" s="116">
        <v>50138</v>
      </c>
      <c r="BN218" s="116">
        <v>15370</v>
      </c>
      <c r="BO218" s="116">
        <v>29522.759999999995</v>
      </c>
      <c r="BP218" s="116">
        <v>770.2399999999999</v>
      </c>
      <c r="BQ218" s="116">
        <v>105875.81999999999</v>
      </c>
      <c r="BR218" s="116">
        <v>192.54</v>
      </c>
      <c r="BS218" s="116">
        <v>8681.7900000000081</v>
      </c>
      <c r="BT218" s="116">
        <v>159.24999999999991</v>
      </c>
      <c r="BU218" s="116"/>
      <c r="BV218" s="116"/>
      <c r="BW218" s="116">
        <v>204.11000000000007</v>
      </c>
      <c r="BX218" s="116">
        <v>75.669999999999987</v>
      </c>
      <c r="BY218" s="116">
        <v>73.09999999999998</v>
      </c>
      <c r="BZ218" s="116">
        <v>55.70000000000001</v>
      </c>
      <c r="CA218" s="116">
        <v>921.78000000000009</v>
      </c>
      <c r="CB218" s="116">
        <v>8.5100000000000016</v>
      </c>
      <c r="CC218" s="116">
        <v>1.77</v>
      </c>
      <c r="CD218" s="116">
        <v>1205.95</v>
      </c>
      <c r="CE218" s="116">
        <v>38.470000000000006</v>
      </c>
      <c r="CF218" s="95">
        <v>94.259999999999991</v>
      </c>
      <c r="CG218" s="116">
        <v>0</v>
      </c>
      <c r="CH218" s="116">
        <v>117588.71999999997</v>
      </c>
      <c r="CI218" s="116"/>
      <c r="CJ218" s="116"/>
      <c r="CK218" s="116">
        <v>209.99230000000026</v>
      </c>
      <c r="CL218" s="116">
        <v>122906.99000000002</v>
      </c>
      <c r="CM218" s="116"/>
      <c r="CN218" s="116">
        <v>1151023961.3500006</v>
      </c>
      <c r="CO218" s="116">
        <v>42610336.110000007</v>
      </c>
      <c r="CP218" s="116">
        <v>1179706679.8600004</v>
      </c>
      <c r="CQ218" s="116">
        <v>-200464756.70000005</v>
      </c>
      <c r="CR218" s="121">
        <v>-53650348.909999989</v>
      </c>
      <c r="CS218" s="121">
        <v>925591574.25000036</v>
      </c>
      <c r="CT218" s="121">
        <v>28113633.879999999</v>
      </c>
      <c r="CU218" s="121">
        <v>0</v>
      </c>
      <c r="CV218" s="121">
        <v>0</v>
      </c>
      <c r="CW218" s="9">
        <v>0</v>
      </c>
      <c r="CX218" s="116">
        <v>0</v>
      </c>
      <c r="CY218" s="116">
        <v>0</v>
      </c>
      <c r="CZ218" s="116"/>
      <c r="DA218" s="116">
        <v>-55095.950000000041</v>
      </c>
      <c r="DB218" s="116">
        <v>-16739.82</v>
      </c>
      <c r="DC218" s="116">
        <v>0</v>
      </c>
      <c r="DD218" s="116">
        <v>0</v>
      </c>
      <c r="DE218" s="9">
        <v>0</v>
      </c>
      <c r="DF218" s="73">
        <v>0</v>
      </c>
      <c r="DG218" s="73">
        <v>0</v>
      </c>
      <c r="DH218" s="73"/>
      <c r="DI218" s="13">
        <v>925536478.30000031</v>
      </c>
      <c r="DJ218" s="13">
        <v>28096894.060000002</v>
      </c>
      <c r="DK218" s="13">
        <v>0</v>
      </c>
      <c r="DL218" s="13">
        <v>0</v>
      </c>
      <c r="DM218" s="13">
        <v>0</v>
      </c>
      <c r="DN218" s="13">
        <v>0</v>
      </c>
      <c r="DO218" s="13">
        <v>0</v>
      </c>
      <c r="DP218" s="13"/>
    </row>
    <row r="219" spans="1:121" x14ac:dyDescent="0.25">
      <c r="A219" s="4"/>
      <c r="D219" s="9">
        <v>2</v>
      </c>
      <c r="E219" s="9" t="s">
        <v>912</v>
      </c>
      <c r="F219" s="9">
        <f>COUNTIF($F$5:$F$210,D219)</f>
        <v>15</v>
      </c>
      <c r="DI219" s="13"/>
      <c r="DJ219" s="13"/>
      <c r="DK219" s="13"/>
      <c r="DL219" s="13"/>
      <c r="DM219" s="13"/>
      <c r="DN219" s="13"/>
      <c r="DO219" s="13"/>
      <c r="DP219" s="13"/>
    </row>
    <row r="220" spans="1:121" x14ac:dyDescent="0.25">
      <c r="A220" s="4"/>
      <c r="D220" s="9">
        <v>3</v>
      </c>
      <c r="E220" s="9" t="s">
        <v>913</v>
      </c>
      <c r="F220" s="9">
        <f>COUNTIF($F$5:$F$210,D220)</f>
        <v>4</v>
      </c>
      <c r="CV220" s="122"/>
      <c r="CW220" s="122"/>
      <c r="DI220" s="13"/>
      <c r="DJ220" s="13"/>
      <c r="DK220" s="13"/>
      <c r="DL220" s="13"/>
      <c r="DM220" s="13"/>
      <c r="DN220" s="13"/>
      <c r="DO220" s="13"/>
      <c r="DP220" s="13"/>
    </row>
    <row r="221" spans="1:121" x14ac:dyDescent="0.25">
      <c r="A221" s="4"/>
      <c r="D221" s="9">
        <v>4</v>
      </c>
      <c r="E221" s="9" t="s">
        <v>914</v>
      </c>
      <c r="F221" s="9">
        <f>COUNTIF($F$5:$F$210,D221)</f>
        <v>4</v>
      </c>
      <c r="DI221" s="13"/>
      <c r="DJ221" s="13"/>
      <c r="DK221" s="13"/>
      <c r="DL221" s="13"/>
      <c r="DM221" s="13"/>
      <c r="DN221" s="13"/>
      <c r="DO221" s="13"/>
      <c r="DP221" s="13"/>
    </row>
    <row r="222" spans="1:121" x14ac:dyDescent="0.25">
      <c r="A222" s="4"/>
      <c r="D222" s="9">
        <v>7</v>
      </c>
      <c r="E222" s="9" t="s">
        <v>915</v>
      </c>
      <c r="F222" s="9">
        <f>COUNTIF($F$5:$F$210,D222)</f>
        <v>31</v>
      </c>
      <c r="DI222" s="13"/>
      <c r="DJ222" s="13"/>
      <c r="DK222" s="13"/>
      <c r="DL222" s="13"/>
      <c r="DM222" s="13"/>
      <c r="DN222" s="13"/>
      <c r="DO222" s="13"/>
      <c r="DP222" s="13"/>
    </row>
    <row r="223" spans="1:121" x14ac:dyDescent="0.25">
      <c r="A223" s="4"/>
      <c r="DI223" s="13"/>
      <c r="DJ223" s="13"/>
      <c r="DK223" s="13"/>
      <c r="DL223" s="13"/>
      <c r="DM223" s="13"/>
      <c r="DN223" s="13"/>
      <c r="DO223" s="13"/>
      <c r="DP223" s="13"/>
    </row>
    <row r="224" spans="1:121" x14ac:dyDescent="0.25">
      <c r="A224" s="4"/>
      <c r="DI224" s="13"/>
      <c r="DJ224" s="13"/>
      <c r="DK224" s="13"/>
      <c r="DL224" s="13"/>
      <c r="DM224" s="13"/>
      <c r="DN224" s="13"/>
      <c r="DO224" s="13"/>
      <c r="DP224" s="13"/>
    </row>
    <row r="225" spans="1:120" x14ac:dyDescent="0.25">
      <c r="A225" s="4"/>
      <c r="DI225" s="13"/>
      <c r="DJ225" s="13"/>
      <c r="DK225" s="13"/>
      <c r="DL225" s="13"/>
      <c r="DM225" s="13"/>
      <c r="DN225" s="13"/>
      <c r="DO225" s="13"/>
      <c r="DP225" s="13"/>
    </row>
    <row r="226" spans="1:120" x14ac:dyDescent="0.25">
      <c r="A226" s="4"/>
      <c r="F226" s="9">
        <f>SUM(F218:F222)</f>
        <v>200</v>
      </c>
      <c r="J226" s="13">
        <f>+J212-J224</f>
        <v>1269835437.1399996</v>
      </c>
      <c r="K226" s="13">
        <f t="shared" ref="K226:CF226" si="214">+K212-K224</f>
        <v>127965.70000000003</v>
      </c>
      <c r="L226" s="13">
        <f t="shared" si="214"/>
        <v>68737.369999999981</v>
      </c>
      <c r="M226" s="13">
        <f t="shared" si="214"/>
        <v>12</v>
      </c>
      <c r="N226" s="13">
        <f t="shared" si="214"/>
        <v>6490437655</v>
      </c>
      <c r="Q226" s="13">
        <f t="shared" si="214"/>
        <v>0</v>
      </c>
      <c r="R226" s="13">
        <f t="shared" si="214"/>
        <v>0</v>
      </c>
      <c r="S226" s="13">
        <f t="shared" si="214"/>
        <v>6092204.1000000006</v>
      </c>
      <c r="T226" s="13">
        <f t="shared" si="214"/>
        <v>36638216.700000003</v>
      </c>
      <c r="U226" s="13">
        <f t="shared" si="214"/>
        <v>36505788.330000013</v>
      </c>
      <c r="V226" s="13">
        <f t="shared" si="214"/>
        <v>15847146.570000004</v>
      </c>
      <c r="W226" s="13">
        <f t="shared" si="214"/>
        <v>3158659.0800000005</v>
      </c>
      <c r="X226" s="13">
        <f t="shared" si="214"/>
        <v>4870387.0670000017</v>
      </c>
      <c r="Y226" s="13">
        <f t="shared" si="214"/>
        <v>1288.3399999999997</v>
      </c>
      <c r="Z226" s="13">
        <f t="shared" si="214"/>
        <v>8409.7799999999988</v>
      </c>
      <c r="AA226" s="13">
        <f t="shared" si="214"/>
        <v>55199.689999999995</v>
      </c>
      <c r="AB226" s="13">
        <f t="shared" si="214"/>
        <v>18467.939999999999</v>
      </c>
      <c r="AC226" s="13">
        <f t="shared" si="214"/>
        <v>33810.360000000008</v>
      </c>
      <c r="AD226" s="13">
        <f t="shared" si="214"/>
        <v>968.92000000000019</v>
      </c>
      <c r="AE226" s="13">
        <f t="shared" si="214"/>
        <v>807.70999999999992</v>
      </c>
      <c r="AF226" s="13">
        <f t="shared" si="214"/>
        <v>990.91999999999985</v>
      </c>
      <c r="AG226" s="13">
        <f t="shared" si="214"/>
        <v>1700.9700000000003</v>
      </c>
      <c r="AH226" s="133">
        <f t="shared" si="214"/>
        <v>60.750000000000007</v>
      </c>
      <c r="AI226" s="13">
        <f t="shared" si="214"/>
        <v>50.929999999999993</v>
      </c>
      <c r="AJ226" s="13">
        <f t="shared" si="214"/>
        <v>9.26</v>
      </c>
      <c r="AQ226" s="13">
        <f t="shared" si="214"/>
        <v>2610.3700000000022</v>
      </c>
      <c r="AR226" s="13">
        <f t="shared" si="214"/>
        <v>57.300000000000026</v>
      </c>
      <c r="BA226" s="13">
        <f t="shared" si="214"/>
        <v>81007875.009999976</v>
      </c>
      <c r="BB226" s="13">
        <f t="shared" si="214"/>
        <v>373647111.74000001</v>
      </c>
      <c r="BC226" s="101">
        <f t="shared" si="214"/>
        <v>-12583829.550000001</v>
      </c>
      <c r="BD226" s="101">
        <f t="shared" si="214"/>
        <v>-2712582.9400000023</v>
      </c>
      <c r="BE226">
        <f t="shared" si="214"/>
        <v>0</v>
      </c>
      <c r="BF226">
        <f t="shared" si="214"/>
        <v>0</v>
      </c>
      <c r="BG226" s="9">
        <f t="shared" si="214"/>
        <v>0</v>
      </c>
      <c r="BH226" s="117">
        <f t="shared" si="214"/>
        <v>46131.67</v>
      </c>
      <c r="BI226" s="117">
        <f t="shared" si="214"/>
        <v>9923.25</v>
      </c>
      <c r="BJ226" s="117">
        <f t="shared" si="214"/>
        <v>0</v>
      </c>
      <c r="BK226" s="9">
        <f t="shared" si="214"/>
        <v>1288.3399999999997</v>
      </c>
      <c r="BL226" s="9">
        <f t="shared" si="214"/>
        <v>8409.7799999999988</v>
      </c>
      <c r="BM226" s="9">
        <f t="shared" si="214"/>
        <v>55199.689999999995</v>
      </c>
      <c r="BN226" s="9">
        <f t="shared" si="214"/>
        <v>18467.939999999999</v>
      </c>
      <c r="BO226" s="9">
        <f t="shared" si="214"/>
        <v>33810.360000000008</v>
      </c>
      <c r="BP226" s="9">
        <f t="shared" si="214"/>
        <v>968.92000000000019</v>
      </c>
      <c r="BQ226" s="9">
        <f t="shared" si="214"/>
        <v>118145.03000000006</v>
      </c>
      <c r="BR226" s="9">
        <f t="shared" si="214"/>
        <v>242.25</v>
      </c>
      <c r="BS226" s="9">
        <f t="shared" si="214"/>
        <v>10396.770000000004</v>
      </c>
      <c r="BT226" s="9">
        <f t="shared" si="214"/>
        <v>219.08999999999992</v>
      </c>
      <c r="BW226" s="9">
        <f t="shared" si="214"/>
        <v>236.32000000000002</v>
      </c>
      <c r="BX226" s="9">
        <f t="shared" si="214"/>
        <v>323.0800000000001</v>
      </c>
      <c r="BY226" s="9">
        <f t="shared" si="214"/>
        <v>277.48999999999995</v>
      </c>
      <c r="BZ226" s="9">
        <f t="shared" si="214"/>
        <v>119.0799999999999</v>
      </c>
      <c r="CA226" s="9">
        <f t="shared" si="214"/>
        <v>1036.5700000000002</v>
      </c>
      <c r="CB226" s="9">
        <f t="shared" si="214"/>
        <v>10.210000000000001</v>
      </c>
      <c r="CC226" s="9">
        <f t="shared" si="214"/>
        <v>1.39</v>
      </c>
      <c r="CD226" s="9">
        <f t="shared" si="214"/>
        <v>1566.2900000000011</v>
      </c>
      <c r="CE226" s="9">
        <f t="shared" si="214"/>
        <v>57.300000000000026</v>
      </c>
      <c r="CF226" s="9">
        <f t="shared" si="214"/>
        <v>106.98999999999998</v>
      </c>
      <c r="CG226" s="9">
        <f t="shared" ref="CG226:DO226" si="215">+CG212-CG224</f>
        <v>0</v>
      </c>
      <c r="CH226" s="9">
        <f t="shared" si="215"/>
        <v>133261.32</v>
      </c>
      <c r="CK226" s="9">
        <f t="shared" si="215"/>
        <v>213.1634</v>
      </c>
      <c r="CL226" s="9">
        <f t="shared" si="215"/>
        <v>139864.47000000006</v>
      </c>
      <c r="CN226" s="9">
        <f t="shared" si="215"/>
        <v>1636690393.7499993</v>
      </c>
      <c r="CO226" s="9">
        <f t="shared" si="215"/>
        <v>3009094.99</v>
      </c>
      <c r="CP226" s="9">
        <f t="shared" si="215"/>
        <v>1639699488.7399998</v>
      </c>
      <c r="CQ226" s="9">
        <f t="shared" si="215"/>
        <v>-390283018.46000016</v>
      </c>
      <c r="CR226" s="9">
        <f t="shared" si="215"/>
        <v>-49935224.849999979</v>
      </c>
      <c r="CS226" s="9">
        <f t="shared" si="215"/>
        <v>1199481245.4300001</v>
      </c>
      <c r="CT226" s="9">
        <f t="shared" si="215"/>
        <v>30743110.749999989</v>
      </c>
      <c r="CU226" s="120">
        <f t="shared" si="215"/>
        <v>447542.06000000006</v>
      </c>
      <c r="CV226" s="120">
        <f t="shared" si="215"/>
        <v>477894.1</v>
      </c>
      <c r="CW226" s="120">
        <f t="shared" si="215"/>
        <v>136618.02000000002</v>
      </c>
      <c r="CX226" s="120">
        <f t="shared" si="215"/>
        <v>0</v>
      </c>
      <c r="CY226" s="120">
        <f t="shared" si="215"/>
        <v>0</v>
      </c>
      <c r="CZ226" s="9">
        <f t="shared" si="215"/>
        <v>0</v>
      </c>
      <c r="DA226" s="9">
        <f t="shared" si="215"/>
        <v>0</v>
      </c>
      <c r="DB226" s="9">
        <f t="shared" si="215"/>
        <v>0</v>
      </c>
      <c r="DC226" s="9">
        <f t="shared" si="215"/>
        <v>0</v>
      </c>
      <c r="DD226" s="9">
        <f t="shared" si="215"/>
        <v>0</v>
      </c>
      <c r="DE226" s="9">
        <f t="shared" si="215"/>
        <v>0</v>
      </c>
      <c r="DF226" s="9">
        <f t="shared" si="215"/>
        <v>0</v>
      </c>
      <c r="DG226" s="9">
        <f t="shared" si="215"/>
        <v>0</v>
      </c>
      <c r="DH226" s="9">
        <f t="shared" si="215"/>
        <v>0</v>
      </c>
      <c r="DI226" s="13">
        <f t="shared" si="215"/>
        <v>1199481245.4300001</v>
      </c>
      <c r="DJ226" s="13">
        <f t="shared" si="215"/>
        <v>30743110.749999989</v>
      </c>
      <c r="DK226" s="13">
        <f t="shared" si="215"/>
        <v>447542.06000000006</v>
      </c>
      <c r="DL226" s="13">
        <f t="shared" si="215"/>
        <v>477894.1</v>
      </c>
      <c r="DM226" s="13">
        <f t="shared" si="215"/>
        <v>136618.02000000002</v>
      </c>
      <c r="DN226" s="13">
        <f t="shared" si="215"/>
        <v>0</v>
      </c>
      <c r="DO226" s="13">
        <f t="shared" si="215"/>
        <v>0</v>
      </c>
      <c r="DP226" s="13"/>
    </row>
    <row r="227" spans="1:120" x14ac:dyDescent="0.25">
      <c r="A227" s="4"/>
    </row>
    <row r="228" spans="1:120" x14ac:dyDescent="0.25">
      <c r="A228" s="4"/>
    </row>
    <row r="229" spans="1:120" x14ac:dyDescent="0.25">
      <c r="A229" s="4"/>
    </row>
    <row r="230" spans="1:120" x14ac:dyDescent="0.25">
      <c r="A230" s="4"/>
    </row>
    <row r="231" spans="1:120" x14ac:dyDescent="0.25">
      <c r="A231" s="241"/>
      <c r="B231" s="101">
        <v>1058</v>
      </c>
      <c r="C231" s="13" t="s">
        <v>62</v>
      </c>
      <c r="D231" s="9">
        <v>2024</v>
      </c>
      <c r="E231" s="9" t="s">
        <v>378</v>
      </c>
      <c r="F231" s="9">
        <v>2</v>
      </c>
      <c r="G231" s="9" t="s">
        <v>680</v>
      </c>
      <c r="H231" s="9">
        <v>100</v>
      </c>
      <c r="I231" s="9" t="s">
        <v>850</v>
      </c>
      <c r="J231" s="13">
        <v>665513.96</v>
      </c>
      <c r="K231" s="13">
        <v>43.51</v>
      </c>
      <c r="L231" s="13">
        <v>315</v>
      </c>
      <c r="M231" s="13">
        <v>0</v>
      </c>
      <c r="N231" s="13">
        <v>8043928</v>
      </c>
      <c r="O231" s="13">
        <v>0</v>
      </c>
      <c r="P231" s="13">
        <v>0</v>
      </c>
      <c r="Q231" s="13">
        <v>0</v>
      </c>
      <c r="R231" s="13">
        <v>0</v>
      </c>
      <c r="S231" s="13">
        <v>0</v>
      </c>
      <c r="T231" s="13">
        <v>169256.82</v>
      </c>
      <c r="U231" s="13">
        <v>0</v>
      </c>
      <c r="V231" s="13">
        <v>0</v>
      </c>
      <c r="W231" s="13">
        <v>0</v>
      </c>
      <c r="X231" s="13">
        <v>0</v>
      </c>
      <c r="Y231" s="13">
        <v>0</v>
      </c>
      <c r="Z231" s="13">
        <v>0</v>
      </c>
      <c r="AA231" s="13">
        <v>0</v>
      </c>
      <c r="AB231" s="13">
        <v>0</v>
      </c>
      <c r="AC231" s="13">
        <v>0</v>
      </c>
      <c r="AD231" s="13">
        <v>0</v>
      </c>
      <c r="AE231" s="13">
        <v>0</v>
      </c>
      <c r="AF231" s="13">
        <v>0</v>
      </c>
      <c r="AG231" s="13">
        <v>0</v>
      </c>
      <c r="AH231" s="133">
        <v>0</v>
      </c>
      <c r="AI231" s="13">
        <v>0</v>
      </c>
      <c r="AJ231" s="13">
        <v>0</v>
      </c>
      <c r="AO231" s="13">
        <v>0</v>
      </c>
      <c r="AP231" s="13">
        <v>0</v>
      </c>
      <c r="AQ231" s="13">
        <v>0</v>
      </c>
      <c r="AR231" s="13">
        <v>0</v>
      </c>
      <c r="AS231" s="13">
        <v>0</v>
      </c>
      <c r="AT231" s="13">
        <v>10500</v>
      </c>
      <c r="AU231" s="13">
        <v>4200</v>
      </c>
      <c r="AV231" s="13">
        <v>0</v>
      </c>
      <c r="AW231" s="13">
        <v>700</v>
      </c>
      <c r="AX231" s="13">
        <v>2100</v>
      </c>
      <c r="AY231" s="13">
        <v>0</v>
      </c>
      <c r="AZ231" s="13">
        <v>0</v>
      </c>
      <c r="BA231" s="13">
        <v>31842.59</v>
      </c>
      <c r="BB231" s="13">
        <v>0</v>
      </c>
      <c r="BC231" s="101">
        <v>0</v>
      </c>
      <c r="BD231" s="101">
        <v>0</v>
      </c>
      <c r="BE231">
        <v>0</v>
      </c>
      <c r="BF231">
        <v>0</v>
      </c>
      <c r="BH231" s="117">
        <v>0</v>
      </c>
      <c r="BI231" s="117">
        <v>15295.66</v>
      </c>
      <c r="BJ231" s="117">
        <v>0</v>
      </c>
      <c r="BK231" s="9">
        <v>0</v>
      </c>
      <c r="BL231" s="9">
        <v>0</v>
      </c>
      <c r="BM231" s="9">
        <v>0</v>
      </c>
      <c r="BN231" s="9">
        <v>0</v>
      </c>
      <c r="BO231" s="9">
        <v>0</v>
      </c>
      <c r="BP231" s="9">
        <v>0</v>
      </c>
      <c r="BQ231" s="9">
        <v>0</v>
      </c>
      <c r="BR231" s="9">
        <v>0</v>
      </c>
      <c r="BS231" s="9">
        <v>0</v>
      </c>
      <c r="BT231" s="9">
        <v>0</v>
      </c>
      <c r="BU231" s="9">
        <v>0</v>
      </c>
      <c r="BV231" s="9">
        <v>0</v>
      </c>
      <c r="BW231" s="9">
        <v>0</v>
      </c>
      <c r="BX231" s="9">
        <v>0</v>
      </c>
      <c r="BY231" s="9">
        <v>0</v>
      </c>
      <c r="BZ231" s="9">
        <v>0</v>
      </c>
      <c r="CA231" s="9">
        <v>0</v>
      </c>
      <c r="CB231" s="9">
        <v>0</v>
      </c>
      <c r="CC231" s="9">
        <v>0</v>
      </c>
      <c r="CD231" s="9">
        <v>0</v>
      </c>
      <c r="CE231" s="9">
        <v>0</v>
      </c>
      <c r="CF231" s="9">
        <v>0</v>
      </c>
      <c r="CG231" s="9">
        <v>0</v>
      </c>
      <c r="CH231" s="9">
        <v>0</v>
      </c>
      <c r="CK231" s="9">
        <v>0</v>
      </c>
      <c r="CL231" s="9">
        <v>0</v>
      </c>
      <c r="CN231" s="9">
        <v>0</v>
      </c>
      <c r="CO231" s="9">
        <v>399308.38</v>
      </c>
      <c r="CP231" s="9">
        <v>399308.38</v>
      </c>
      <c r="CQ231" s="9">
        <v>0</v>
      </c>
      <c r="CR231" s="9">
        <v>-126942.62</v>
      </c>
      <c r="CS231" s="9">
        <v>272365.76</v>
      </c>
      <c r="CT231" s="9">
        <v>14322</v>
      </c>
      <c r="CU231" s="120">
        <v>0</v>
      </c>
      <c r="CV231" s="120">
        <v>0</v>
      </c>
      <c r="CW231" s="120">
        <v>0</v>
      </c>
      <c r="CX231" s="120">
        <v>0</v>
      </c>
      <c r="CY231" s="120">
        <v>0</v>
      </c>
      <c r="DA231" s="9">
        <v>0</v>
      </c>
      <c r="DB231" s="9">
        <v>0</v>
      </c>
      <c r="DC231" s="9">
        <v>0</v>
      </c>
      <c r="DD231" s="9">
        <v>0</v>
      </c>
      <c r="DE231" s="9">
        <v>0</v>
      </c>
      <c r="DF231" s="9">
        <v>0</v>
      </c>
      <c r="DG231" s="9">
        <v>0</v>
      </c>
      <c r="DI231" s="9">
        <v>272365.76</v>
      </c>
      <c r="DJ231" s="9">
        <v>14322</v>
      </c>
      <c r="DK231" s="9">
        <v>0</v>
      </c>
      <c r="DL231" s="9">
        <v>0</v>
      </c>
      <c r="DM231" s="9">
        <v>0</v>
      </c>
      <c r="DN231" s="9">
        <v>0</v>
      </c>
      <c r="DO231" s="9">
        <v>0</v>
      </c>
    </row>
    <row r="232" spans="1:120" x14ac:dyDescent="0.25">
      <c r="A232" s="241"/>
      <c r="AU232" s="13"/>
      <c r="AX232" s="13"/>
    </row>
    <row r="233" spans="1:120" x14ac:dyDescent="0.25">
      <c r="A233" s="241"/>
      <c r="AU233" s="13"/>
      <c r="AX233" s="13"/>
    </row>
    <row r="234" spans="1:120" x14ac:dyDescent="0.25">
      <c r="A234" s="241"/>
      <c r="AU234" s="13"/>
      <c r="AX234" s="13"/>
    </row>
    <row r="235" spans="1:120" x14ac:dyDescent="0.25">
      <c r="A235" s="241"/>
      <c r="AU235" s="13"/>
      <c r="AX235" s="13"/>
    </row>
    <row r="236" spans="1:120" x14ac:dyDescent="0.25">
      <c r="A236" s="241"/>
      <c r="AU236" s="13"/>
      <c r="AX236" s="13"/>
    </row>
    <row r="237" spans="1:120" x14ac:dyDescent="0.25">
      <c r="A237" s="241"/>
      <c r="AU237" s="13"/>
      <c r="AX237" s="13"/>
    </row>
    <row r="238" spans="1:120" x14ac:dyDescent="0.25">
      <c r="A238" s="241"/>
      <c r="AU238" s="13"/>
      <c r="AX238" s="13"/>
    </row>
    <row r="239" spans="1:120" x14ac:dyDescent="0.25">
      <c r="A239" s="241"/>
      <c r="AU239" s="13"/>
      <c r="AX239" s="13"/>
    </row>
    <row r="240" spans="1:120" x14ac:dyDescent="0.25">
      <c r="A240" s="241"/>
      <c r="AU240" s="13"/>
      <c r="AX240" s="13"/>
    </row>
    <row r="241" spans="1:50" x14ac:dyDescent="0.25">
      <c r="A241" s="241"/>
      <c r="AU241" s="13"/>
      <c r="AX241" s="13"/>
    </row>
    <row r="242" spans="1:50" x14ac:dyDescent="0.25">
      <c r="A242" s="241"/>
      <c r="AU242" s="13"/>
      <c r="AX242" s="13"/>
    </row>
    <row r="243" spans="1:50" x14ac:dyDescent="0.25">
      <c r="A243" s="241"/>
      <c r="AU243" s="13"/>
      <c r="AX243" s="13"/>
    </row>
    <row r="244" spans="1:50" x14ac:dyDescent="0.25">
      <c r="A244" s="241"/>
      <c r="AU244" s="13"/>
      <c r="AX244" s="13"/>
    </row>
    <row r="245" spans="1:50" x14ac:dyDescent="0.25">
      <c r="A245" s="241"/>
      <c r="AU245" s="13"/>
      <c r="AX245" s="13"/>
    </row>
    <row r="246" spans="1:50" x14ac:dyDescent="0.25">
      <c r="A246" s="241"/>
      <c r="AU246" s="13"/>
      <c r="AX246" s="13"/>
    </row>
    <row r="247" spans="1:50" x14ac:dyDescent="0.25">
      <c r="A247" s="241"/>
      <c r="AU247" s="13"/>
      <c r="AX247" s="13"/>
    </row>
    <row r="248" spans="1:50" x14ac:dyDescent="0.25">
      <c r="A248" s="241"/>
      <c r="AU248" s="13"/>
      <c r="AX248" s="13"/>
    </row>
    <row r="249" spans="1:50" x14ac:dyDescent="0.25">
      <c r="A249" s="241"/>
      <c r="AU249" s="13"/>
      <c r="AX249" s="13"/>
    </row>
    <row r="250" spans="1:50" x14ac:dyDescent="0.25">
      <c r="A250" s="241"/>
      <c r="AU250" s="13"/>
      <c r="AX250" s="13"/>
    </row>
    <row r="251" spans="1:50" x14ac:dyDescent="0.25">
      <c r="A251" s="241"/>
      <c r="AU251" s="13"/>
      <c r="AX251" s="13"/>
    </row>
    <row r="252" spans="1:50" x14ac:dyDescent="0.25">
      <c r="A252" s="241"/>
      <c r="AU252" s="13"/>
      <c r="AX252" s="13"/>
    </row>
    <row r="253" spans="1:50" x14ac:dyDescent="0.25">
      <c r="A253" s="241"/>
      <c r="AU253" s="13"/>
      <c r="AX253" s="13"/>
    </row>
    <row r="254" spans="1:50" x14ac:dyDescent="0.25">
      <c r="A254" s="241"/>
      <c r="AU254" s="13"/>
      <c r="AX254" s="13"/>
    </row>
    <row r="255" spans="1:50" x14ac:dyDescent="0.25">
      <c r="A255" s="241"/>
      <c r="AU255" s="13"/>
      <c r="AX255" s="13"/>
    </row>
    <row r="256" spans="1:50" x14ac:dyDescent="0.25">
      <c r="A256" s="241"/>
      <c r="AU256" s="13"/>
      <c r="AX256" s="13"/>
    </row>
    <row r="257" spans="1:50" x14ac:dyDescent="0.25">
      <c r="A257" s="241"/>
      <c r="AU257" s="13"/>
      <c r="AX257" s="13"/>
    </row>
    <row r="258" spans="1:50" x14ac:dyDescent="0.25">
      <c r="A258" s="241"/>
      <c r="AU258" s="13"/>
      <c r="AX258" s="13"/>
    </row>
    <row r="259" spans="1:50" x14ac:dyDescent="0.25">
      <c r="A259" s="241"/>
      <c r="AU259" s="13"/>
      <c r="AX259" s="13"/>
    </row>
    <row r="260" spans="1:50" x14ac:dyDescent="0.25">
      <c r="A260" s="241"/>
      <c r="AU260" s="13"/>
      <c r="AX260" s="13"/>
    </row>
    <row r="261" spans="1:50" x14ac:dyDescent="0.25">
      <c r="A261" s="241"/>
      <c r="AU261" s="13"/>
      <c r="AX261" s="13"/>
    </row>
    <row r="262" spans="1:50" x14ac:dyDescent="0.25">
      <c r="A262" s="241"/>
      <c r="AU262" s="13"/>
      <c r="AX262" s="13"/>
    </row>
    <row r="263" spans="1:50" x14ac:dyDescent="0.25">
      <c r="A263" s="241"/>
      <c r="AU263" s="13"/>
      <c r="AX263" s="13"/>
    </row>
    <row r="264" spans="1:50" x14ac:dyDescent="0.25">
      <c r="A264" s="241"/>
      <c r="AU264" s="13"/>
      <c r="AX264" s="13"/>
    </row>
    <row r="265" spans="1:50" x14ac:dyDescent="0.25">
      <c r="A265" s="241"/>
      <c r="AU265" s="13"/>
      <c r="AX265" s="13"/>
    </row>
    <row r="266" spans="1:50" x14ac:dyDescent="0.25">
      <c r="A266" s="241"/>
      <c r="AU266" s="13"/>
      <c r="AX266" s="13"/>
    </row>
    <row r="267" spans="1:50" x14ac:dyDescent="0.25">
      <c r="A267" s="241"/>
      <c r="AU267" s="13"/>
      <c r="AX267" s="13"/>
    </row>
    <row r="268" spans="1:50" x14ac:dyDescent="0.25">
      <c r="A268" s="241"/>
      <c r="AU268" s="13"/>
      <c r="AX268" s="13"/>
    </row>
    <row r="269" spans="1:50" x14ac:dyDescent="0.25">
      <c r="A269" s="241"/>
      <c r="AU269" s="13"/>
      <c r="AX269" s="13"/>
    </row>
    <row r="270" spans="1:50" x14ac:dyDescent="0.25">
      <c r="A270" s="241"/>
      <c r="AU270" s="13"/>
      <c r="AX270" s="13"/>
    </row>
    <row r="271" spans="1:50" x14ac:dyDescent="0.25">
      <c r="A271" s="241"/>
      <c r="AU271" s="13"/>
      <c r="AX271" s="13"/>
    </row>
    <row r="272" spans="1:50" x14ac:dyDescent="0.25">
      <c r="A272" s="241"/>
      <c r="AU272" s="13"/>
      <c r="AX272" s="13"/>
    </row>
    <row r="273" spans="1:50" x14ac:dyDescent="0.25">
      <c r="A273" s="241"/>
      <c r="AU273" s="13"/>
      <c r="AX273" s="13"/>
    </row>
    <row r="274" spans="1:50" x14ac:dyDescent="0.25">
      <c r="A274" s="241"/>
      <c r="AU274" s="13"/>
      <c r="AX274" s="13"/>
    </row>
    <row r="275" spans="1:50" x14ac:dyDescent="0.25">
      <c r="A275" s="241"/>
      <c r="AU275" s="13"/>
      <c r="AX275" s="13"/>
    </row>
    <row r="276" spans="1:50" x14ac:dyDescent="0.25">
      <c r="A276" s="241"/>
      <c r="AU276" s="13"/>
      <c r="AX276" s="13"/>
    </row>
    <row r="277" spans="1:50" x14ac:dyDescent="0.25">
      <c r="A277" s="241"/>
      <c r="AU277" s="13"/>
      <c r="AX277" s="13"/>
    </row>
    <row r="278" spans="1:50" x14ac:dyDescent="0.25">
      <c r="A278" s="241"/>
      <c r="AU278" s="13"/>
      <c r="AX278" s="13"/>
    </row>
    <row r="279" spans="1:50" x14ac:dyDescent="0.25">
      <c r="A279" s="241"/>
      <c r="AU279" s="13"/>
      <c r="AX279" s="13"/>
    </row>
    <row r="280" spans="1:50" x14ac:dyDescent="0.25">
      <c r="A280" s="241"/>
      <c r="AU280" s="13"/>
      <c r="AX280" s="13"/>
    </row>
    <row r="281" spans="1:50" x14ac:dyDescent="0.25">
      <c r="A281" s="241"/>
      <c r="AU281" s="13"/>
      <c r="AX281" s="13"/>
    </row>
    <row r="282" spans="1:50" x14ac:dyDescent="0.25">
      <c r="A282" s="241"/>
      <c r="AU282" s="13"/>
      <c r="AX282" s="13"/>
    </row>
    <row r="283" spans="1:50" x14ac:dyDescent="0.25">
      <c r="A283" s="241"/>
      <c r="AU283" s="13"/>
      <c r="AX283" s="13"/>
    </row>
    <row r="284" spans="1:50" x14ac:dyDescent="0.25">
      <c r="A284" s="241"/>
      <c r="AU284" s="13"/>
      <c r="AX284" s="13"/>
    </row>
    <row r="285" spans="1:50" x14ac:dyDescent="0.25">
      <c r="A285" s="241"/>
      <c r="AU285" s="13"/>
      <c r="AX285" s="13"/>
    </row>
    <row r="286" spans="1:50" x14ac:dyDescent="0.25">
      <c r="A286" s="241"/>
      <c r="AU286" s="13"/>
      <c r="AX286" s="13"/>
    </row>
    <row r="287" spans="1:50" x14ac:dyDescent="0.25">
      <c r="A287" s="241"/>
      <c r="AU287" s="13"/>
      <c r="AX287" s="13"/>
    </row>
    <row r="288" spans="1:50" x14ac:dyDescent="0.25">
      <c r="A288" s="241"/>
      <c r="AU288" s="13"/>
      <c r="AX288" s="13"/>
    </row>
    <row r="289" spans="1:50" x14ac:dyDescent="0.25">
      <c r="A289" s="241"/>
      <c r="AU289" s="13"/>
      <c r="AX289" s="13"/>
    </row>
    <row r="290" spans="1:50" x14ac:dyDescent="0.25">
      <c r="A290" s="241"/>
      <c r="AU290" s="13"/>
      <c r="AX290" s="13"/>
    </row>
    <row r="291" spans="1:50" x14ac:dyDescent="0.25">
      <c r="A291" s="241"/>
      <c r="AU291" s="13"/>
      <c r="AX291" s="13"/>
    </row>
    <row r="292" spans="1:50" x14ac:dyDescent="0.25">
      <c r="A292" s="241"/>
      <c r="AU292" s="13"/>
      <c r="AX292" s="13"/>
    </row>
    <row r="293" spans="1:50" x14ac:dyDescent="0.25">
      <c r="A293" s="241"/>
      <c r="AU293" s="13"/>
      <c r="AX293" s="13"/>
    </row>
    <row r="294" spans="1:50" x14ac:dyDescent="0.25">
      <c r="A294" s="241"/>
      <c r="AU294" s="13"/>
      <c r="AX294" s="13"/>
    </row>
    <row r="295" spans="1:50" x14ac:dyDescent="0.25">
      <c r="A295" s="241"/>
      <c r="AU295" s="13"/>
      <c r="AX295" s="13"/>
    </row>
    <row r="296" spans="1:50" x14ac:dyDescent="0.25">
      <c r="A296" s="241"/>
      <c r="AU296" s="13"/>
      <c r="AX296" s="13"/>
    </row>
    <row r="297" spans="1:50" x14ac:dyDescent="0.25">
      <c r="A297" s="241"/>
      <c r="AU297" s="13"/>
      <c r="AX297" s="13"/>
    </row>
    <row r="298" spans="1:50" x14ac:dyDescent="0.25">
      <c r="A298" s="241"/>
      <c r="AU298" s="13"/>
      <c r="AX298" s="13"/>
    </row>
    <row r="299" spans="1:50" x14ac:dyDescent="0.25">
      <c r="A299" s="241"/>
      <c r="AU299" s="13"/>
      <c r="AX299" s="13"/>
    </row>
    <row r="300" spans="1:50" x14ac:dyDescent="0.25">
      <c r="A300" s="241"/>
      <c r="AU300" s="13"/>
      <c r="AX300" s="13"/>
    </row>
    <row r="301" spans="1:50" x14ac:dyDescent="0.25">
      <c r="A301" s="241"/>
      <c r="AU301" s="13"/>
      <c r="AX301" s="13"/>
    </row>
    <row r="302" spans="1:50" x14ac:dyDescent="0.25">
      <c r="A302" s="241"/>
      <c r="AU302" s="13"/>
      <c r="AX302" s="13"/>
    </row>
    <row r="303" spans="1:50" x14ac:dyDescent="0.25">
      <c r="A303" s="241"/>
      <c r="AU303" s="13"/>
      <c r="AX303" s="13"/>
    </row>
    <row r="304" spans="1:50" x14ac:dyDescent="0.25">
      <c r="A304" s="241"/>
      <c r="AU304" s="13"/>
      <c r="AX304" s="13"/>
    </row>
    <row r="305" spans="1:50" x14ac:dyDescent="0.25">
      <c r="A305" s="241"/>
      <c r="AU305" s="13"/>
      <c r="AX305" s="13"/>
    </row>
    <row r="306" spans="1:50" x14ac:dyDescent="0.25">
      <c r="A306" s="241"/>
      <c r="AU306" s="13"/>
      <c r="AX306" s="13"/>
    </row>
    <row r="307" spans="1:50" x14ac:dyDescent="0.25">
      <c r="A307" s="241"/>
      <c r="AU307" s="13"/>
      <c r="AX307" s="13"/>
    </row>
    <row r="308" spans="1:50" x14ac:dyDescent="0.25">
      <c r="A308" s="241"/>
      <c r="AU308" s="13"/>
      <c r="AX308" s="13"/>
    </row>
    <row r="309" spans="1:50" x14ac:dyDescent="0.25">
      <c r="A309" s="241"/>
      <c r="AU309" s="13"/>
      <c r="AX309" s="13"/>
    </row>
    <row r="310" spans="1:50" x14ac:dyDescent="0.25">
      <c r="A310" s="241"/>
      <c r="AU310" s="13"/>
      <c r="AX310" s="13"/>
    </row>
    <row r="311" spans="1:50" x14ac:dyDescent="0.25">
      <c r="A311" s="241"/>
      <c r="AU311" s="13"/>
      <c r="AX311" s="13"/>
    </row>
    <row r="312" spans="1:50" x14ac:dyDescent="0.25">
      <c r="A312" s="241"/>
      <c r="AU312" s="13"/>
      <c r="AX312" s="13"/>
    </row>
    <row r="313" spans="1:50" x14ac:dyDescent="0.25">
      <c r="A313" s="241"/>
      <c r="AU313" s="13"/>
      <c r="AX313" s="13"/>
    </row>
    <row r="314" spans="1:50" x14ac:dyDescent="0.25">
      <c r="A314" s="241"/>
      <c r="AU314" s="13"/>
      <c r="AX314" s="13"/>
    </row>
    <row r="315" spans="1:50" x14ac:dyDescent="0.25">
      <c r="A315" s="241"/>
      <c r="AU315" s="13"/>
      <c r="AX315" s="13"/>
    </row>
    <row r="316" spans="1:50" x14ac:dyDescent="0.25">
      <c r="A316" s="241"/>
      <c r="AU316" s="13"/>
      <c r="AX316" s="13"/>
    </row>
    <row r="317" spans="1:50" x14ac:dyDescent="0.25">
      <c r="A317" s="241"/>
      <c r="AU317" s="13"/>
      <c r="AX317" s="13"/>
    </row>
    <row r="318" spans="1:50" x14ac:dyDescent="0.25">
      <c r="A318" s="241"/>
      <c r="AU318" s="13"/>
      <c r="AX318" s="13"/>
    </row>
    <row r="319" spans="1:50" x14ac:dyDescent="0.25">
      <c r="A319" s="241"/>
      <c r="AU319" s="13"/>
      <c r="AX319" s="13"/>
    </row>
    <row r="320" spans="1:50" x14ac:dyDescent="0.25">
      <c r="A320" s="241"/>
      <c r="AU320" s="13"/>
      <c r="AX320" s="13"/>
    </row>
    <row r="321" spans="1:50" x14ac:dyDescent="0.25">
      <c r="A321" s="241"/>
      <c r="AU321" s="13"/>
      <c r="AX321" s="13"/>
    </row>
    <row r="322" spans="1:50" x14ac:dyDescent="0.25">
      <c r="A322" s="241"/>
      <c r="AU322" s="13"/>
      <c r="AX322" s="13"/>
    </row>
    <row r="323" spans="1:50" x14ac:dyDescent="0.25">
      <c r="A323" s="241"/>
      <c r="AU323" s="13"/>
      <c r="AX323" s="13"/>
    </row>
    <row r="324" spans="1:50" x14ac:dyDescent="0.25">
      <c r="A324" s="241"/>
      <c r="AU324" s="13"/>
      <c r="AX324" s="13"/>
    </row>
    <row r="325" spans="1:50" x14ac:dyDescent="0.25">
      <c r="A325" s="241"/>
      <c r="AU325" s="13"/>
      <c r="AX325" s="13"/>
    </row>
    <row r="326" spans="1:50" x14ac:dyDescent="0.25">
      <c r="A326" s="241"/>
      <c r="AU326" s="13"/>
      <c r="AX326" s="13"/>
    </row>
    <row r="327" spans="1:50" x14ac:dyDescent="0.25">
      <c r="A327" s="241"/>
      <c r="AU327" s="13"/>
      <c r="AX327" s="13"/>
    </row>
    <row r="328" spans="1:50" x14ac:dyDescent="0.25">
      <c r="A328" s="241"/>
      <c r="AU328" s="13"/>
      <c r="AX328" s="13"/>
    </row>
    <row r="329" spans="1:50" x14ac:dyDescent="0.25">
      <c r="A329" s="241"/>
      <c r="AU329" s="13"/>
      <c r="AX329" s="13"/>
    </row>
    <row r="330" spans="1:50" x14ac:dyDescent="0.25">
      <c r="A330" s="241"/>
      <c r="AU330" s="13"/>
      <c r="AX330" s="13"/>
    </row>
    <row r="331" spans="1:50" x14ac:dyDescent="0.25">
      <c r="A331" s="241"/>
      <c r="AU331" s="13"/>
      <c r="AX331" s="13"/>
    </row>
    <row r="332" spans="1:50" x14ac:dyDescent="0.25">
      <c r="A332" s="241"/>
      <c r="AU332" s="13"/>
      <c r="AX332" s="13"/>
    </row>
    <row r="333" spans="1:50" x14ac:dyDescent="0.25">
      <c r="A333" s="241"/>
      <c r="AU333" s="13"/>
      <c r="AX333" s="13"/>
    </row>
    <row r="334" spans="1:50" x14ac:dyDescent="0.25">
      <c r="A334" s="241"/>
      <c r="AU334" s="13"/>
      <c r="AX334" s="13"/>
    </row>
    <row r="335" spans="1:50" x14ac:dyDescent="0.25">
      <c r="A335" s="241"/>
      <c r="AU335" s="13"/>
      <c r="AX335" s="13"/>
    </row>
    <row r="336" spans="1:50" x14ac:dyDescent="0.25">
      <c r="A336" s="241"/>
      <c r="AU336" s="13"/>
      <c r="AX336" s="13"/>
    </row>
    <row r="337" spans="1:50" x14ac:dyDescent="0.25">
      <c r="A337" s="241"/>
      <c r="AU337" s="13"/>
      <c r="AX337" s="13"/>
    </row>
    <row r="338" spans="1:50" x14ac:dyDescent="0.25">
      <c r="A338" s="241"/>
      <c r="AU338" s="13"/>
      <c r="AX338" s="13"/>
    </row>
    <row r="339" spans="1:50" x14ac:dyDescent="0.25">
      <c r="A339" s="241"/>
      <c r="AU339" s="13"/>
      <c r="AX339" s="13"/>
    </row>
    <row r="340" spans="1:50" x14ac:dyDescent="0.25">
      <c r="A340" s="241"/>
      <c r="AU340" s="13"/>
      <c r="AX340" s="13"/>
    </row>
    <row r="341" spans="1:50" x14ac:dyDescent="0.25">
      <c r="A341" s="241"/>
      <c r="AU341" s="13"/>
      <c r="AX341" s="13"/>
    </row>
    <row r="342" spans="1:50" x14ac:dyDescent="0.25">
      <c r="A342" s="241"/>
      <c r="AU342" s="13"/>
      <c r="AX342" s="13"/>
    </row>
    <row r="343" spans="1:50" x14ac:dyDescent="0.25">
      <c r="A343" s="241"/>
      <c r="AU343" s="13"/>
      <c r="AX343" s="13"/>
    </row>
    <row r="344" spans="1:50" x14ac:dyDescent="0.25">
      <c r="A344" s="241"/>
      <c r="AU344" s="13"/>
      <c r="AX344" s="13"/>
    </row>
    <row r="345" spans="1:50" x14ac:dyDescent="0.25">
      <c r="A345" s="241"/>
      <c r="AU345" s="13"/>
      <c r="AX345" s="13"/>
    </row>
    <row r="346" spans="1:50" x14ac:dyDescent="0.25">
      <c r="A346" s="241"/>
      <c r="AU346" s="13"/>
      <c r="AX346" s="13"/>
    </row>
    <row r="347" spans="1:50" x14ac:dyDescent="0.25">
      <c r="A347" s="241"/>
      <c r="AU347" s="13"/>
      <c r="AX347" s="13"/>
    </row>
    <row r="348" spans="1:50" x14ac:dyDescent="0.25">
      <c r="A348" s="241"/>
      <c r="AU348" s="13"/>
      <c r="AX348" s="13"/>
    </row>
    <row r="349" spans="1:50" x14ac:dyDescent="0.25">
      <c r="A349" s="241"/>
      <c r="AU349" s="13"/>
      <c r="AX349" s="13"/>
    </row>
    <row r="350" spans="1:50" x14ac:dyDescent="0.25">
      <c r="A350" s="241"/>
      <c r="AU350" s="13"/>
      <c r="AX350" s="13"/>
    </row>
    <row r="351" spans="1:50" x14ac:dyDescent="0.25">
      <c r="A351" s="241"/>
      <c r="AU351" s="13"/>
      <c r="AX351" s="13"/>
    </row>
    <row r="352" spans="1:50" x14ac:dyDescent="0.25">
      <c r="A352" s="241"/>
      <c r="AU352" s="13"/>
      <c r="AX352" s="13"/>
    </row>
    <row r="353" spans="1:50" x14ac:dyDescent="0.25">
      <c r="A353" s="241"/>
      <c r="AU353" s="13"/>
      <c r="AX353" s="13"/>
    </row>
    <row r="354" spans="1:50" x14ac:dyDescent="0.25">
      <c r="A354" s="241"/>
      <c r="AU354" s="13"/>
      <c r="AX354" s="13"/>
    </row>
    <row r="355" spans="1:50" x14ac:dyDescent="0.25">
      <c r="A355" s="241"/>
      <c r="AU355" s="13"/>
      <c r="AX355" s="13"/>
    </row>
    <row r="356" spans="1:50" x14ac:dyDescent="0.25">
      <c r="A356" s="241"/>
      <c r="AU356" s="13"/>
      <c r="AX356" s="13"/>
    </row>
    <row r="357" spans="1:50" x14ac:dyDescent="0.25">
      <c r="A357" s="241"/>
      <c r="AU357" s="13"/>
      <c r="AX357" s="13"/>
    </row>
    <row r="358" spans="1:50" x14ac:dyDescent="0.25">
      <c r="A358" s="241"/>
      <c r="AU358" s="13"/>
      <c r="AX358" s="13"/>
    </row>
    <row r="359" spans="1:50" x14ac:dyDescent="0.25">
      <c r="A359" s="241"/>
      <c r="AU359" s="13"/>
      <c r="AX359" s="13"/>
    </row>
    <row r="360" spans="1:50" x14ac:dyDescent="0.25">
      <c r="A360" s="241"/>
      <c r="AU360" s="13"/>
      <c r="AX360" s="13"/>
    </row>
    <row r="361" spans="1:50" x14ac:dyDescent="0.25">
      <c r="A361" s="241"/>
      <c r="AU361" s="13"/>
      <c r="AX361" s="13"/>
    </row>
    <row r="362" spans="1:50" x14ac:dyDescent="0.25">
      <c r="A362" s="241"/>
      <c r="AU362" s="13"/>
      <c r="AX362" s="13"/>
    </row>
    <row r="363" spans="1:50" x14ac:dyDescent="0.25">
      <c r="A363" s="241"/>
      <c r="AU363" s="13"/>
      <c r="AX363" s="13"/>
    </row>
    <row r="364" spans="1:50" x14ac:dyDescent="0.25">
      <c r="A364" s="241"/>
      <c r="AU364" s="13"/>
      <c r="AX364" s="13"/>
    </row>
    <row r="365" spans="1:50" x14ac:dyDescent="0.25">
      <c r="A365" s="241"/>
      <c r="AU365" s="13"/>
      <c r="AX365" s="13"/>
    </row>
    <row r="366" spans="1:50" x14ac:dyDescent="0.25">
      <c r="A366" s="241"/>
      <c r="AU366" s="13"/>
      <c r="AX366" s="13"/>
    </row>
    <row r="367" spans="1:50" x14ac:dyDescent="0.25">
      <c r="A367" s="241"/>
      <c r="AU367" s="13"/>
      <c r="AX367" s="13"/>
    </row>
    <row r="368" spans="1:50" x14ac:dyDescent="0.25">
      <c r="A368" s="241"/>
      <c r="AU368" s="13"/>
      <c r="AX368" s="13"/>
    </row>
    <row r="369" spans="1:50" x14ac:dyDescent="0.25">
      <c r="A369" s="241"/>
      <c r="AU369" s="13"/>
      <c r="AX369" s="13"/>
    </row>
    <row r="370" spans="1:50" x14ac:dyDescent="0.25">
      <c r="A370" s="241"/>
      <c r="AU370" s="13"/>
      <c r="AX370" s="13"/>
    </row>
    <row r="371" spans="1:50" x14ac:dyDescent="0.25">
      <c r="A371" s="241"/>
      <c r="AU371" s="13"/>
      <c r="AX371" s="13"/>
    </row>
    <row r="372" spans="1:50" x14ac:dyDescent="0.25">
      <c r="A372" s="241"/>
      <c r="AU372" s="13"/>
      <c r="AX372" s="13"/>
    </row>
    <row r="373" spans="1:50" x14ac:dyDescent="0.25">
      <c r="A373" s="241"/>
      <c r="AU373" s="13"/>
      <c r="AX373" s="13"/>
    </row>
    <row r="374" spans="1:50" x14ac:dyDescent="0.25">
      <c r="A374" s="241"/>
      <c r="AU374" s="13"/>
      <c r="AX374" s="13"/>
    </row>
    <row r="375" spans="1:50" x14ac:dyDescent="0.25">
      <c r="A375" s="241"/>
      <c r="AU375" s="13"/>
      <c r="AX375" s="13"/>
    </row>
    <row r="376" spans="1:50" x14ac:dyDescent="0.25">
      <c r="A376" s="241"/>
      <c r="AU376" s="13"/>
      <c r="AX376" s="13"/>
    </row>
    <row r="377" spans="1:50" x14ac:dyDescent="0.25">
      <c r="A377" s="241"/>
      <c r="AU377" s="13"/>
      <c r="AX377" s="13"/>
    </row>
    <row r="378" spans="1:50" x14ac:dyDescent="0.25">
      <c r="A378" s="241"/>
      <c r="AU378" s="13"/>
      <c r="AX378" s="13"/>
    </row>
    <row r="379" spans="1:50" x14ac:dyDescent="0.25">
      <c r="A379" s="241"/>
      <c r="AU379" s="13"/>
      <c r="AX379" s="13"/>
    </row>
    <row r="380" spans="1:50" x14ac:dyDescent="0.25">
      <c r="A380" s="241"/>
      <c r="AU380" s="13"/>
      <c r="AX380" s="13"/>
    </row>
    <row r="381" spans="1:50" x14ac:dyDescent="0.25">
      <c r="A381" s="241"/>
      <c r="AU381" s="13"/>
      <c r="AX381" s="13"/>
    </row>
    <row r="382" spans="1:50" x14ac:dyDescent="0.25">
      <c r="A382" s="241"/>
      <c r="AU382" s="13"/>
      <c r="AX382" s="13"/>
    </row>
    <row r="383" spans="1:50" x14ac:dyDescent="0.25">
      <c r="A383" s="241"/>
      <c r="AU383" s="13"/>
      <c r="AX383" s="13"/>
    </row>
    <row r="384" spans="1:50" x14ac:dyDescent="0.25">
      <c r="A384" s="241"/>
      <c r="AU384" s="13"/>
      <c r="AX384" s="13"/>
    </row>
    <row r="385" spans="1:50" x14ac:dyDescent="0.25">
      <c r="A385" s="241"/>
      <c r="AU385" s="13"/>
      <c r="AX385" s="13"/>
    </row>
    <row r="386" spans="1:50" x14ac:dyDescent="0.25">
      <c r="A386" s="241"/>
      <c r="AU386" s="13"/>
      <c r="AX386" s="13"/>
    </row>
    <row r="387" spans="1:50" x14ac:dyDescent="0.25">
      <c r="A387" s="241"/>
      <c r="AU387" s="13"/>
      <c r="AX387" s="13"/>
    </row>
    <row r="388" spans="1:50" x14ac:dyDescent="0.25">
      <c r="A388" s="241"/>
      <c r="AU388" s="13"/>
      <c r="AX388" s="13"/>
    </row>
    <row r="389" spans="1:50" x14ac:dyDescent="0.25">
      <c r="A389" s="241"/>
      <c r="AU389" s="13"/>
      <c r="AX389" s="13"/>
    </row>
    <row r="390" spans="1:50" x14ac:dyDescent="0.25">
      <c r="A390" s="241"/>
      <c r="AU390" s="13"/>
      <c r="AX390" s="13"/>
    </row>
    <row r="391" spans="1:50" x14ac:dyDescent="0.25">
      <c r="A391" s="241"/>
      <c r="AU391" s="13"/>
      <c r="AX391" s="13"/>
    </row>
    <row r="392" spans="1:50" x14ac:dyDescent="0.25">
      <c r="A392" s="241"/>
      <c r="AU392" s="13"/>
      <c r="AX392" s="13"/>
    </row>
    <row r="393" spans="1:50" x14ac:dyDescent="0.25">
      <c r="A393" s="241"/>
      <c r="AU393" s="13"/>
      <c r="AX393" s="13"/>
    </row>
    <row r="394" spans="1:50" x14ac:dyDescent="0.25">
      <c r="A394" s="241"/>
      <c r="AU394" s="13"/>
      <c r="AX394" s="13"/>
    </row>
    <row r="395" spans="1:50" x14ac:dyDescent="0.25">
      <c r="A395" s="241"/>
      <c r="AU395" s="13"/>
      <c r="AX395" s="13"/>
    </row>
    <row r="396" spans="1:50" x14ac:dyDescent="0.25">
      <c r="A396" s="241"/>
      <c r="AU396" s="13"/>
      <c r="AX396" s="13"/>
    </row>
    <row r="397" spans="1:50" x14ac:dyDescent="0.25">
      <c r="A397" s="241"/>
      <c r="AU397" s="13"/>
      <c r="AX397" s="13"/>
    </row>
    <row r="398" spans="1:50" x14ac:dyDescent="0.25">
      <c r="A398" s="241"/>
      <c r="AU398" s="13"/>
      <c r="AX398" s="13"/>
    </row>
    <row r="399" spans="1:50" x14ac:dyDescent="0.25">
      <c r="A399" s="241"/>
      <c r="AU399" s="13"/>
      <c r="AX399" s="13"/>
    </row>
    <row r="400" spans="1:50" x14ac:dyDescent="0.25">
      <c r="A400" s="241"/>
      <c r="AU400" s="13"/>
      <c r="AX400" s="13"/>
    </row>
    <row r="401" spans="1:50" x14ac:dyDescent="0.25">
      <c r="A401" s="241"/>
      <c r="AU401" s="13"/>
      <c r="AX401" s="13"/>
    </row>
    <row r="402" spans="1:50" x14ac:dyDescent="0.25">
      <c r="A402" s="241"/>
      <c r="AU402" s="13"/>
      <c r="AX402" s="13"/>
    </row>
    <row r="403" spans="1:50" x14ac:dyDescent="0.25">
      <c r="AU403" s="13"/>
      <c r="AX403" s="13"/>
    </row>
    <row r="404" spans="1:50" x14ac:dyDescent="0.25">
      <c r="AU404" s="13"/>
      <c r="AX404" s="13"/>
    </row>
    <row r="405" spans="1:50" x14ac:dyDescent="0.25">
      <c r="AU405" s="13"/>
      <c r="AX405" s="13"/>
    </row>
    <row r="406" spans="1:50" x14ac:dyDescent="0.25">
      <c r="AU406" s="13"/>
      <c r="AX406" s="13"/>
    </row>
    <row r="407" spans="1:50" x14ac:dyDescent="0.25">
      <c r="AU407" s="13"/>
      <c r="AX407" s="13"/>
    </row>
    <row r="408" spans="1:50" x14ac:dyDescent="0.25">
      <c r="AU408" s="13"/>
      <c r="AX408" s="13"/>
    </row>
    <row r="409" spans="1:50" x14ac:dyDescent="0.25">
      <c r="AU409" s="13"/>
      <c r="AX409" s="13"/>
    </row>
    <row r="410" spans="1:50" x14ac:dyDescent="0.25">
      <c r="AU410" s="13"/>
      <c r="AX410" s="13"/>
    </row>
    <row r="411" spans="1:50" x14ac:dyDescent="0.25">
      <c r="AU411" s="13"/>
      <c r="AX411" s="13"/>
    </row>
    <row r="412" spans="1:50" x14ac:dyDescent="0.25">
      <c r="AU412" s="13"/>
      <c r="AX412" s="13"/>
    </row>
    <row r="413" spans="1:50" x14ac:dyDescent="0.25">
      <c r="AU413" s="13"/>
      <c r="AX413" s="13"/>
    </row>
    <row r="414" spans="1:50" x14ac:dyDescent="0.25">
      <c r="AU414" s="13"/>
      <c r="AX414" s="13"/>
    </row>
    <row r="415" spans="1:50" x14ac:dyDescent="0.25">
      <c r="AU415" s="13"/>
      <c r="AX415" s="13"/>
    </row>
    <row r="416" spans="1:50" x14ac:dyDescent="0.25">
      <c r="AU416" s="13"/>
      <c r="AX416" s="13"/>
    </row>
    <row r="417" spans="47:50" x14ac:dyDescent="0.25">
      <c r="AU417" s="13"/>
      <c r="AX417" s="13"/>
    </row>
    <row r="418" spans="47:50" x14ac:dyDescent="0.25">
      <c r="AU418" s="13"/>
      <c r="AX418" s="13"/>
    </row>
    <row r="419" spans="47:50" x14ac:dyDescent="0.25">
      <c r="AU419" s="13"/>
      <c r="AX419" s="13"/>
    </row>
    <row r="420" spans="47:50" x14ac:dyDescent="0.25">
      <c r="AU420" s="13"/>
      <c r="AX420" s="13"/>
    </row>
    <row r="421" spans="47:50" x14ac:dyDescent="0.25">
      <c r="AU421" s="13"/>
      <c r="AX421" s="13"/>
    </row>
    <row r="422" spans="47:50" x14ac:dyDescent="0.25">
      <c r="AU422" s="13"/>
      <c r="AX422" s="13"/>
    </row>
    <row r="423" spans="47:50" x14ac:dyDescent="0.25">
      <c r="AU423" s="13"/>
      <c r="AX423" s="13"/>
    </row>
    <row r="424" spans="47:50" x14ac:dyDescent="0.25">
      <c r="AU424" s="13"/>
      <c r="AX424" s="13"/>
    </row>
    <row r="425" spans="47:50" x14ac:dyDescent="0.25">
      <c r="AU425" s="13"/>
      <c r="AX425" s="13"/>
    </row>
    <row r="426" spans="47:50" x14ac:dyDescent="0.25">
      <c r="AU426" s="13"/>
      <c r="AX426" s="13"/>
    </row>
    <row r="427" spans="47:50" x14ac:dyDescent="0.25">
      <c r="AU427" s="13"/>
      <c r="AX427" s="13"/>
    </row>
    <row r="428" spans="47:50" x14ac:dyDescent="0.25">
      <c r="AU428" s="13"/>
      <c r="AX428" s="13"/>
    </row>
    <row r="429" spans="47:50" x14ac:dyDescent="0.25">
      <c r="AU429" s="13"/>
      <c r="AX429" s="13"/>
    </row>
    <row r="430" spans="47:50" x14ac:dyDescent="0.25">
      <c r="AU430" s="13"/>
      <c r="AX430" s="13"/>
    </row>
    <row r="431" spans="47:50" x14ac:dyDescent="0.25">
      <c r="AU431" s="13"/>
      <c r="AX431" s="13"/>
    </row>
    <row r="432" spans="47:50" x14ac:dyDescent="0.25">
      <c r="AU432" s="13"/>
      <c r="AX432" s="13"/>
    </row>
    <row r="433" spans="47:50" x14ac:dyDescent="0.25">
      <c r="AU433" s="13"/>
      <c r="AX433" s="13"/>
    </row>
    <row r="434" spans="47:50" x14ac:dyDescent="0.25">
      <c r="AU434" s="13"/>
      <c r="AX434" s="13"/>
    </row>
    <row r="435" spans="47:50" x14ac:dyDescent="0.25">
      <c r="AU435" s="13"/>
      <c r="AX435" s="13"/>
    </row>
    <row r="436" spans="47:50" x14ac:dyDescent="0.25">
      <c r="AU436" s="13"/>
      <c r="AX436" s="13"/>
    </row>
    <row r="437" spans="47:50" x14ac:dyDescent="0.25">
      <c r="AU437" s="13"/>
      <c r="AX437" s="13"/>
    </row>
    <row r="438" spans="47:50" x14ac:dyDescent="0.25">
      <c r="AU438" s="13"/>
      <c r="AX438" s="13"/>
    </row>
    <row r="439" spans="47:50" x14ac:dyDescent="0.25">
      <c r="AU439" s="13"/>
      <c r="AX439" s="13"/>
    </row>
    <row r="440" spans="47:50" x14ac:dyDescent="0.25">
      <c r="AU440" s="13"/>
      <c r="AX440" s="13"/>
    </row>
    <row r="441" spans="47:50" x14ac:dyDescent="0.25">
      <c r="AU441" s="13"/>
      <c r="AX441" s="13"/>
    </row>
    <row r="442" spans="47:50" x14ac:dyDescent="0.25">
      <c r="AU442" s="13"/>
      <c r="AX442" s="13"/>
    </row>
    <row r="443" spans="47:50" x14ac:dyDescent="0.25">
      <c r="AU443" s="13"/>
      <c r="AX443" s="13"/>
    </row>
    <row r="444" spans="47:50" x14ac:dyDescent="0.25">
      <c r="AU444" s="13"/>
      <c r="AX444" s="13"/>
    </row>
    <row r="445" spans="47:50" x14ac:dyDescent="0.25">
      <c r="AU445" s="13"/>
      <c r="AX445" s="13"/>
    </row>
    <row r="446" spans="47:50" x14ac:dyDescent="0.25">
      <c r="AU446" s="13"/>
      <c r="AX446" s="13"/>
    </row>
    <row r="447" spans="47:50" x14ac:dyDescent="0.25">
      <c r="AU447" s="13"/>
      <c r="AX447" s="13"/>
    </row>
    <row r="448" spans="47:50" x14ac:dyDescent="0.25">
      <c r="AU448" s="13"/>
      <c r="AX448" s="13"/>
    </row>
    <row r="449" spans="47:50" x14ac:dyDescent="0.25">
      <c r="AU449" s="13"/>
      <c r="AX449" s="13"/>
    </row>
    <row r="450" spans="47:50" x14ac:dyDescent="0.25">
      <c r="AU450" s="13"/>
      <c r="AX450" s="13"/>
    </row>
    <row r="451" spans="47:50" x14ac:dyDescent="0.25">
      <c r="AU451" s="13"/>
      <c r="AX451" s="13"/>
    </row>
    <row r="452" spans="47:50" x14ac:dyDescent="0.25">
      <c r="AU452" s="13"/>
      <c r="AX452" s="13"/>
    </row>
    <row r="453" spans="47:50" x14ac:dyDescent="0.25">
      <c r="AU453" s="13"/>
      <c r="AX453" s="13"/>
    </row>
    <row r="454" spans="47:50" x14ac:dyDescent="0.25">
      <c r="AU454" s="13"/>
      <c r="AX454" s="13"/>
    </row>
    <row r="455" spans="47:50" x14ac:dyDescent="0.25">
      <c r="AU455" s="13"/>
      <c r="AX455" s="13"/>
    </row>
    <row r="456" spans="47:50" x14ac:dyDescent="0.25">
      <c r="AU456" s="13"/>
      <c r="AX456" s="13"/>
    </row>
    <row r="457" spans="47:50" x14ac:dyDescent="0.25">
      <c r="AU457" s="13"/>
      <c r="AX457" s="13"/>
    </row>
    <row r="458" spans="47:50" x14ac:dyDescent="0.25">
      <c r="AU458" s="13"/>
      <c r="AX458" s="13"/>
    </row>
    <row r="459" spans="47:50" x14ac:dyDescent="0.25">
      <c r="AU459" s="13"/>
      <c r="AX459" s="13"/>
    </row>
    <row r="460" spans="47:50" x14ac:dyDescent="0.25">
      <c r="AU460" s="13"/>
      <c r="AX460" s="13"/>
    </row>
    <row r="461" spans="47:50" x14ac:dyDescent="0.25">
      <c r="AU461" s="13"/>
      <c r="AX461" s="13"/>
    </row>
    <row r="462" spans="47:50" x14ac:dyDescent="0.25">
      <c r="AU462" s="13"/>
      <c r="AX462" s="13"/>
    </row>
    <row r="463" spans="47:50" x14ac:dyDescent="0.25">
      <c r="AU463" s="13"/>
      <c r="AX463" s="13"/>
    </row>
    <row r="464" spans="47:50" x14ac:dyDescent="0.25">
      <c r="AU464" s="13"/>
      <c r="AX464" s="13"/>
    </row>
    <row r="465" spans="47:50" x14ac:dyDescent="0.25">
      <c r="AU465" s="13"/>
      <c r="AX465" s="13"/>
    </row>
    <row r="466" spans="47:50" x14ac:dyDescent="0.25">
      <c r="AU466" s="13"/>
      <c r="AX466" s="13"/>
    </row>
    <row r="467" spans="47:50" x14ac:dyDescent="0.25">
      <c r="AU467" s="13"/>
      <c r="AX467" s="13"/>
    </row>
    <row r="468" spans="47:50" x14ac:dyDescent="0.25">
      <c r="AU468" s="13"/>
      <c r="AX468" s="13"/>
    </row>
    <row r="469" spans="47:50" x14ac:dyDescent="0.25">
      <c r="AU469" s="13"/>
      <c r="AX469" s="13"/>
    </row>
    <row r="470" spans="47:50" x14ac:dyDescent="0.25">
      <c r="AU470" s="13"/>
      <c r="AX470" s="13"/>
    </row>
    <row r="471" spans="47:50" x14ac:dyDescent="0.25">
      <c r="AU471" s="13"/>
      <c r="AX471" s="13"/>
    </row>
    <row r="472" spans="47:50" x14ac:dyDescent="0.25">
      <c r="AU472" s="13"/>
      <c r="AX472" s="13"/>
    </row>
    <row r="473" spans="47:50" x14ac:dyDescent="0.25">
      <c r="AU473" s="13"/>
      <c r="AX473" s="13"/>
    </row>
    <row r="474" spans="47:50" x14ac:dyDescent="0.25">
      <c r="AU474" s="13"/>
      <c r="AX474" s="13"/>
    </row>
    <row r="475" spans="47:50" x14ac:dyDescent="0.25">
      <c r="AU475" s="13"/>
      <c r="AX475" s="13"/>
    </row>
    <row r="476" spans="47:50" x14ac:dyDescent="0.25">
      <c r="AU476" s="13"/>
      <c r="AX476" s="13"/>
    </row>
    <row r="477" spans="47:50" x14ac:dyDescent="0.25">
      <c r="AU477" s="13"/>
      <c r="AX477" s="13"/>
    </row>
    <row r="478" spans="47:50" x14ac:dyDescent="0.25">
      <c r="AU478" s="13"/>
      <c r="AX478" s="13"/>
    </row>
    <row r="479" spans="47:50" x14ac:dyDescent="0.25">
      <c r="AU479" s="13"/>
      <c r="AX479" s="13"/>
    </row>
    <row r="480" spans="47:50" x14ac:dyDescent="0.25">
      <c r="AU480" s="13"/>
      <c r="AX480" s="13"/>
    </row>
    <row r="481" spans="47:50" x14ac:dyDescent="0.25">
      <c r="AU481" s="13"/>
      <c r="AX481" s="13"/>
    </row>
    <row r="482" spans="47:50" x14ac:dyDescent="0.25">
      <c r="AU482" s="13"/>
      <c r="AX482" s="13"/>
    </row>
    <row r="483" spans="47:50" x14ac:dyDescent="0.25">
      <c r="AU483" s="13"/>
      <c r="AX483" s="13"/>
    </row>
    <row r="484" spans="47:50" x14ac:dyDescent="0.25">
      <c r="AU484" s="13"/>
      <c r="AX484" s="13"/>
    </row>
    <row r="485" spans="47:50" x14ac:dyDescent="0.25">
      <c r="AU485" s="13"/>
      <c r="AX485" s="13"/>
    </row>
    <row r="486" spans="47:50" x14ac:dyDescent="0.25">
      <c r="AU486" s="13"/>
      <c r="AX486" s="13"/>
    </row>
    <row r="487" spans="47:50" x14ac:dyDescent="0.25">
      <c r="AU487" s="13"/>
      <c r="AX487" s="13"/>
    </row>
    <row r="488" spans="47:50" x14ac:dyDescent="0.25">
      <c r="AU488" s="13"/>
      <c r="AX488" s="13"/>
    </row>
    <row r="489" spans="47:50" x14ac:dyDescent="0.25">
      <c r="AU489" s="13"/>
      <c r="AX489" s="13"/>
    </row>
    <row r="490" spans="47:50" x14ac:dyDescent="0.25">
      <c r="AU490" s="13"/>
      <c r="AX490" s="13"/>
    </row>
    <row r="491" spans="47:50" x14ac:dyDescent="0.25">
      <c r="AU491" s="13"/>
      <c r="AX491" s="13"/>
    </row>
    <row r="492" spans="47:50" x14ac:dyDescent="0.25">
      <c r="AU492" s="13"/>
      <c r="AX492" s="13"/>
    </row>
    <row r="493" spans="47:50" x14ac:dyDescent="0.25">
      <c r="AU493" s="13"/>
      <c r="AX493" s="13"/>
    </row>
    <row r="494" spans="47:50" x14ac:dyDescent="0.25">
      <c r="AU494" s="13"/>
      <c r="AX494" s="13"/>
    </row>
    <row r="495" spans="47:50" x14ac:dyDescent="0.25">
      <c r="AU495" s="13"/>
      <c r="AX495" s="13"/>
    </row>
    <row r="496" spans="47:50" x14ac:dyDescent="0.25">
      <c r="AU496" s="13"/>
      <c r="AX496" s="13"/>
    </row>
    <row r="497" spans="47:50" x14ac:dyDescent="0.25">
      <c r="AU497" s="13"/>
      <c r="AX497" s="13"/>
    </row>
    <row r="498" spans="47:50" x14ac:dyDescent="0.25">
      <c r="AU498" s="13"/>
      <c r="AX498" s="13"/>
    </row>
    <row r="499" spans="47:50" x14ac:dyDescent="0.25">
      <c r="AU499" s="13"/>
      <c r="AX499" s="13"/>
    </row>
    <row r="500" spans="47:50" x14ac:dyDescent="0.25">
      <c r="AU500" s="13"/>
      <c r="AX500" s="13"/>
    </row>
    <row r="501" spans="47:50" x14ac:dyDescent="0.25">
      <c r="AU501" s="13"/>
      <c r="AX501" s="13"/>
    </row>
    <row r="502" spans="47:50" x14ac:dyDescent="0.25">
      <c r="AU502" s="13"/>
      <c r="AX502" s="13"/>
    </row>
    <row r="503" spans="47:50" x14ac:dyDescent="0.25">
      <c r="AU503" s="13"/>
      <c r="AX503" s="13"/>
    </row>
    <row r="504" spans="47:50" x14ac:dyDescent="0.25">
      <c r="AU504" s="13"/>
      <c r="AX504" s="13"/>
    </row>
    <row r="505" spans="47:50" x14ac:dyDescent="0.25">
      <c r="AU505" s="13"/>
      <c r="AX505" s="13"/>
    </row>
    <row r="506" spans="47:50" x14ac:dyDescent="0.25">
      <c r="AU506" s="13"/>
      <c r="AX506" s="13"/>
    </row>
    <row r="507" spans="47:50" x14ac:dyDescent="0.25">
      <c r="AU507" s="13"/>
      <c r="AX507" s="13"/>
    </row>
    <row r="508" spans="47:50" x14ac:dyDescent="0.25">
      <c r="AU508" s="13"/>
      <c r="AX508" s="13"/>
    </row>
    <row r="509" spans="47:50" x14ac:dyDescent="0.25">
      <c r="AU509" s="13"/>
      <c r="AX509" s="13"/>
    </row>
    <row r="510" spans="47:50" x14ac:dyDescent="0.25">
      <c r="AU510" s="13"/>
      <c r="AX510" s="13"/>
    </row>
    <row r="511" spans="47:50" x14ac:dyDescent="0.25">
      <c r="AU511" s="13"/>
      <c r="AX511" s="13"/>
    </row>
    <row r="512" spans="47:50" x14ac:dyDescent="0.25">
      <c r="AU512" s="13"/>
      <c r="AX512" s="13"/>
    </row>
    <row r="513" spans="47:50" x14ac:dyDescent="0.25">
      <c r="AU513" s="13"/>
      <c r="AX513" s="13"/>
    </row>
    <row r="514" spans="47:50" x14ac:dyDescent="0.25">
      <c r="AU514" s="13"/>
      <c r="AX514" s="13"/>
    </row>
    <row r="515" spans="47:50" x14ac:dyDescent="0.25">
      <c r="AU515" s="13"/>
      <c r="AX515" s="13"/>
    </row>
    <row r="516" spans="47:50" x14ac:dyDescent="0.25">
      <c r="AU516" s="13"/>
      <c r="AX516" s="13"/>
    </row>
    <row r="517" spans="47:50" x14ac:dyDescent="0.25">
      <c r="AU517" s="13"/>
      <c r="AX517" s="13"/>
    </row>
    <row r="518" spans="47:50" x14ac:dyDescent="0.25">
      <c r="AU518" s="13"/>
      <c r="AX518" s="13"/>
    </row>
    <row r="519" spans="47:50" x14ac:dyDescent="0.25">
      <c r="AU519" s="13"/>
      <c r="AX519" s="13"/>
    </row>
    <row r="520" spans="47:50" x14ac:dyDescent="0.25">
      <c r="AU520" s="13"/>
      <c r="AX520" s="13"/>
    </row>
    <row r="521" spans="47:50" x14ac:dyDescent="0.25">
      <c r="AU521" s="13"/>
      <c r="AX521" s="13"/>
    </row>
    <row r="522" spans="47:50" x14ac:dyDescent="0.25">
      <c r="AU522" s="13"/>
      <c r="AX522" s="13"/>
    </row>
    <row r="523" spans="47:50" x14ac:dyDescent="0.25">
      <c r="AU523" s="13"/>
      <c r="AX523" s="13"/>
    </row>
    <row r="524" spans="47:50" x14ac:dyDescent="0.25">
      <c r="AU524" s="13"/>
      <c r="AX524" s="13"/>
    </row>
    <row r="525" spans="47:50" x14ac:dyDescent="0.25">
      <c r="AU525" s="13"/>
      <c r="AX525" s="13"/>
    </row>
    <row r="526" spans="47:50" x14ac:dyDescent="0.25">
      <c r="AU526" s="13"/>
      <c r="AX526" s="13"/>
    </row>
    <row r="527" spans="47:50" x14ac:dyDescent="0.25">
      <c r="AU527" s="13"/>
      <c r="AX527" s="13"/>
    </row>
    <row r="528" spans="47:50" x14ac:dyDescent="0.25">
      <c r="AU528" s="13"/>
      <c r="AX528" s="13"/>
    </row>
    <row r="529" spans="47:50" x14ac:dyDescent="0.25">
      <c r="AU529" s="13"/>
      <c r="AX529" s="13"/>
    </row>
    <row r="530" spans="47:50" x14ac:dyDescent="0.25">
      <c r="AU530" s="13"/>
      <c r="AX530" s="13"/>
    </row>
    <row r="531" spans="47:50" x14ac:dyDescent="0.25">
      <c r="AU531" s="13"/>
      <c r="AX531" s="13"/>
    </row>
    <row r="532" spans="47:50" x14ac:dyDescent="0.25">
      <c r="AU532" s="13"/>
      <c r="AX532" s="13"/>
    </row>
    <row r="533" spans="47:50" x14ac:dyDescent="0.25">
      <c r="AU533" s="13"/>
      <c r="AX533" s="13"/>
    </row>
    <row r="534" spans="47:50" x14ac:dyDescent="0.25">
      <c r="AU534" s="13"/>
      <c r="AX534" s="13"/>
    </row>
    <row r="535" spans="47:50" x14ac:dyDescent="0.25">
      <c r="AU535" s="13"/>
      <c r="AX535" s="13"/>
    </row>
    <row r="536" spans="47:50" x14ac:dyDescent="0.25">
      <c r="AU536" s="13"/>
      <c r="AX536" s="13"/>
    </row>
    <row r="537" spans="47:50" x14ac:dyDescent="0.25">
      <c r="AU537" s="13"/>
      <c r="AX537" s="13"/>
    </row>
    <row r="538" spans="47:50" x14ac:dyDescent="0.25">
      <c r="AU538" s="13"/>
      <c r="AX538" s="13"/>
    </row>
    <row r="539" spans="47:50" x14ac:dyDescent="0.25">
      <c r="AU539" s="13"/>
      <c r="AX539" s="13"/>
    </row>
    <row r="540" spans="47:50" x14ac:dyDescent="0.25">
      <c r="AU540" s="13"/>
      <c r="AX540" s="13"/>
    </row>
    <row r="541" spans="47:50" x14ac:dyDescent="0.25">
      <c r="AU541" s="13"/>
      <c r="AX541" s="13"/>
    </row>
    <row r="542" spans="47:50" x14ac:dyDescent="0.25">
      <c r="AU542" s="13"/>
      <c r="AX542" s="13"/>
    </row>
    <row r="543" spans="47:50" x14ac:dyDescent="0.25">
      <c r="AU543" s="13"/>
      <c r="AX543" s="13"/>
    </row>
    <row r="544" spans="47:50" x14ac:dyDescent="0.25">
      <c r="AU544" s="13"/>
      <c r="AX544" s="13"/>
    </row>
    <row r="545" spans="47:50" x14ac:dyDescent="0.25">
      <c r="AU545" s="13"/>
      <c r="AX545" s="13"/>
    </row>
    <row r="546" spans="47:50" x14ac:dyDescent="0.25">
      <c r="AU546" s="13"/>
      <c r="AX546" s="13"/>
    </row>
    <row r="547" spans="47:50" x14ac:dyDescent="0.25">
      <c r="AU547" s="13"/>
      <c r="AX547" s="13"/>
    </row>
    <row r="548" spans="47:50" x14ac:dyDescent="0.25">
      <c r="AU548" s="13"/>
      <c r="AX548" s="13"/>
    </row>
    <row r="549" spans="47:50" x14ac:dyDescent="0.25">
      <c r="AU549" s="13"/>
      <c r="AX549" s="13"/>
    </row>
    <row r="550" spans="47:50" x14ac:dyDescent="0.25">
      <c r="AU550" s="13"/>
      <c r="AX550" s="13"/>
    </row>
    <row r="551" spans="47:50" x14ac:dyDescent="0.25">
      <c r="AU551" s="13"/>
      <c r="AX551" s="13"/>
    </row>
    <row r="552" spans="47:50" x14ac:dyDescent="0.25">
      <c r="AU552" s="13"/>
      <c r="AX552" s="13"/>
    </row>
    <row r="553" spans="47:50" x14ac:dyDescent="0.25">
      <c r="AU553" s="13"/>
      <c r="AX553" s="13"/>
    </row>
    <row r="554" spans="47:50" x14ac:dyDescent="0.25">
      <c r="AU554" s="13"/>
      <c r="AX554" s="13"/>
    </row>
    <row r="555" spans="47:50" x14ac:dyDescent="0.25">
      <c r="AU555" s="13"/>
      <c r="AX555" s="13"/>
    </row>
    <row r="556" spans="47:50" x14ac:dyDescent="0.25">
      <c r="AU556" s="13"/>
      <c r="AX556" s="13"/>
    </row>
    <row r="557" spans="47:50" x14ac:dyDescent="0.25">
      <c r="AU557" s="13"/>
      <c r="AX557" s="13"/>
    </row>
    <row r="558" spans="47:50" x14ac:dyDescent="0.25">
      <c r="AU558" s="13"/>
      <c r="AX558" s="13"/>
    </row>
    <row r="559" spans="47:50" x14ac:dyDescent="0.25">
      <c r="AU559" s="13"/>
      <c r="AX559" s="13"/>
    </row>
    <row r="560" spans="47:50" x14ac:dyDescent="0.25">
      <c r="AU560" s="13"/>
      <c r="AX560" s="13"/>
    </row>
    <row r="561" spans="47:50" x14ac:dyDescent="0.25">
      <c r="AU561" s="13"/>
      <c r="AX561" s="13"/>
    </row>
    <row r="562" spans="47:50" x14ac:dyDescent="0.25">
      <c r="AU562" s="13"/>
      <c r="AX562" s="13"/>
    </row>
    <row r="563" spans="47:50" x14ac:dyDescent="0.25">
      <c r="AU563" s="13"/>
      <c r="AX563" s="13"/>
    </row>
    <row r="564" spans="47:50" x14ac:dyDescent="0.25">
      <c r="AU564" s="13"/>
      <c r="AX564" s="13"/>
    </row>
    <row r="565" spans="47:50" x14ac:dyDescent="0.25">
      <c r="AU565" s="13"/>
      <c r="AX565" s="13"/>
    </row>
    <row r="566" spans="47:50" x14ac:dyDescent="0.25">
      <c r="AU566" s="13"/>
      <c r="AX566" s="13"/>
    </row>
    <row r="567" spans="47:50" x14ac:dyDescent="0.25">
      <c r="AU567" s="13"/>
      <c r="AX567" s="13"/>
    </row>
    <row r="568" spans="47:50" x14ac:dyDescent="0.25">
      <c r="AU568" s="13"/>
      <c r="AX568" s="13"/>
    </row>
    <row r="569" spans="47:50" x14ac:dyDescent="0.25">
      <c r="AU569" s="13"/>
      <c r="AX569" s="13"/>
    </row>
    <row r="570" spans="47:50" x14ac:dyDescent="0.25">
      <c r="AU570" s="13"/>
      <c r="AX570" s="13"/>
    </row>
    <row r="571" spans="47:50" x14ac:dyDescent="0.25">
      <c r="AU571" s="13"/>
      <c r="AX571" s="13"/>
    </row>
    <row r="572" spans="47:50" x14ac:dyDescent="0.25">
      <c r="AU572" s="13"/>
      <c r="AX572" s="13"/>
    </row>
    <row r="573" spans="47:50" x14ac:dyDescent="0.25">
      <c r="AU573" s="13"/>
      <c r="AX573" s="13"/>
    </row>
    <row r="574" spans="47:50" x14ac:dyDescent="0.25">
      <c r="AU574" s="13"/>
      <c r="AX574" s="13"/>
    </row>
    <row r="575" spans="47:50" x14ac:dyDescent="0.25">
      <c r="AU575" s="13"/>
      <c r="AX575" s="13"/>
    </row>
    <row r="576" spans="47:50" x14ac:dyDescent="0.25">
      <c r="AU576" s="13"/>
      <c r="AX576" s="13"/>
    </row>
    <row r="577" spans="47:50" x14ac:dyDescent="0.25">
      <c r="AU577" s="13"/>
      <c r="AX577" s="13"/>
    </row>
    <row r="578" spans="47:50" x14ac:dyDescent="0.25">
      <c r="AU578" s="13"/>
      <c r="AX578" s="13"/>
    </row>
    <row r="579" spans="47:50" x14ac:dyDescent="0.25">
      <c r="AU579" s="13"/>
      <c r="AX579" s="13"/>
    </row>
    <row r="580" spans="47:50" x14ac:dyDescent="0.25">
      <c r="AU580" s="13"/>
      <c r="AX580" s="13"/>
    </row>
    <row r="581" spans="47:50" x14ac:dyDescent="0.25">
      <c r="AU581" s="13"/>
      <c r="AX581" s="13"/>
    </row>
    <row r="582" spans="47:50" x14ac:dyDescent="0.25">
      <c r="AU582" s="13"/>
      <c r="AX582" s="13"/>
    </row>
    <row r="583" spans="47:50" x14ac:dyDescent="0.25">
      <c r="AU583" s="13"/>
      <c r="AX583" s="13"/>
    </row>
    <row r="584" spans="47:50" x14ac:dyDescent="0.25">
      <c r="AU584" s="13"/>
      <c r="AX584" s="13"/>
    </row>
    <row r="585" spans="47:50" x14ac:dyDescent="0.25">
      <c r="AU585" s="13"/>
      <c r="AX585" s="13"/>
    </row>
    <row r="586" spans="47:50" x14ac:dyDescent="0.25">
      <c r="AU586" s="13"/>
      <c r="AX586" s="13"/>
    </row>
    <row r="587" spans="47:50" x14ac:dyDescent="0.25">
      <c r="AU587" s="13"/>
      <c r="AX587" s="13"/>
    </row>
    <row r="588" spans="47:50" x14ac:dyDescent="0.25">
      <c r="AU588" s="13"/>
      <c r="AX588" s="13"/>
    </row>
    <row r="589" spans="47:50" x14ac:dyDescent="0.25">
      <c r="AU589" s="13"/>
      <c r="AX589" s="13"/>
    </row>
    <row r="590" spans="47:50" x14ac:dyDescent="0.25">
      <c r="AU590" s="13"/>
      <c r="AX590" s="13"/>
    </row>
    <row r="591" spans="47:50" x14ac:dyDescent="0.25">
      <c r="AU591" s="13"/>
      <c r="AX591" s="13"/>
    </row>
    <row r="592" spans="47:50" x14ac:dyDescent="0.25">
      <c r="AU592" s="13"/>
      <c r="AX592" s="13"/>
    </row>
    <row r="593" spans="47:50" x14ac:dyDescent="0.25">
      <c r="AU593" s="13"/>
      <c r="AX593" s="13"/>
    </row>
    <row r="594" spans="47:50" x14ac:dyDescent="0.25">
      <c r="AU594" s="13"/>
      <c r="AX594" s="13"/>
    </row>
    <row r="595" spans="47:50" x14ac:dyDescent="0.25">
      <c r="AU595" s="13"/>
      <c r="AX595" s="13"/>
    </row>
    <row r="596" spans="47:50" x14ac:dyDescent="0.25">
      <c r="AU596" s="13"/>
      <c r="AX596" s="13"/>
    </row>
    <row r="597" spans="47:50" x14ac:dyDescent="0.25">
      <c r="AU597" s="13"/>
      <c r="AX597" s="13"/>
    </row>
    <row r="598" spans="47:50" x14ac:dyDescent="0.25">
      <c r="AU598" s="13"/>
      <c r="AX598" s="13"/>
    </row>
    <row r="599" spans="47:50" x14ac:dyDescent="0.25">
      <c r="AU599" s="13"/>
      <c r="AX599" s="13"/>
    </row>
    <row r="600" spans="47:50" x14ac:dyDescent="0.25">
      <c r="AU600" s="13"/>
      <c r="AX600" s="13"/>
    </row>
    <row r="601" spans="47:50" x14ac:dyDescent="0.25">
      <c r="AU601" s="13"/>
      <c r="AX601" s="13"/>
    </row>
    <row r="602" spans="47:50" x14ac:dyDescent="0.25">
      <c r="AU602" s="13"/>
      <c r="AX602" s="13"/>
    </row>
    <row r="603" spans="47:50" x14ac:dyDescent="0.25">
      <c r="AU603" s="13"/>
      <c r="AX603" s="13"/>
    </row>
    <row r="604" spans="47:50" x14ac:dyDescent="0.25">
      <c r="AU604" s="13"/>
      <c r="AX604" s="13"/>
    </row>
    <row r="605" spans="47:50" x14ac:dyDescent="0.25">
      <c r="AU605" s="13"/>
      <c r="AX605" s="13"/>
    </row>
    <row r="606" spans="47:50" x14ac:dyDescent="0.25">
      <c r="AU606" s="13"/>
      <c r="AX606" s="13"/>
    </row>
    <row r="607" spans="47:50" x14ac:dyDescent="0.25">
      <c r="AU607" s="13"/>
      <c r="AX607" s="13"/>
    </row>
    <row r="608" spans="47:50" x14ac:dyDescent="0.25">
      <c r="AU608" s="13"/>
      <c r="AX608" s="13"/>
    </row>
    <row r="609" spans="47:50" x14ac:dyDescent="0.25">
      <c r="AU609" s="13"/>
      <c r="AX609" s="13"/>
    </row>
    <row r="610" spans="47:50" x14ac:dyDescent="0.25">
      <c r="AU610" s="13"/>
      <c r="AX610" s="13"/>
    </row>
    <row r="611" spans="47:50" x14ac:dyDescent="0.25">
      <c r="AU611" s="13"/>
      <c r="AX611" s="13"/>
    </row>
    <row r="612" spans="47:50" x14ac:dyDescent="0.25">
      <c r="AU612" s="13"/>
      <c r="AX612" s="13"/>
    </row>
    <row r="613" spans="47:50" x14ac:dyDescent="0.25">
      <c r="AU613" s="13"/>
      <c r="AX613" s="13"/>
    </row>
    <row r="614" spans="47:50" x14ac:dyDescent="0.25">
      <c r="AU614" s="13"/>
      <c r="AX614" s="13"/>
    </row>
    <row r="615" spans="47:50" x14ac:dyDescent="0.25">
      <c r="AU615" s="13"/>
      <c r="AX615" s="13"/>
    </row>
    <row r="616" spans="47:50" x14ac:dyDescent="0.25">
      <c r="AU616" s="13"/>
      <c r="AX616" s="13"/>
    </row>
    <row r="617" spans="47:50" x14ac:dyDescent="0.25">
      <c r="AU617" s="13"/>
      <c r="AX617" s="13"/>
    </row>
    <row r="618" spans="47:50" x14ac:dyDescent="0.25">
      <c r="AU618" s="13"/>
      <c r="AX618" s="13"/>
    </row>
    <row r="619" spans="47:50" x14ac:dyDescent="0.25">
      <c r="AU619" s="13"/>
      <c r="AX619" s="13"/>
    </row>
    <row r="620" spans="47:50" x14ac:dyDescent="0.25">
      <c r="AU620" s="13"/>
      <c r="AX620" s="13"/>
    </row>
    <row r="621" spans="47:50" x14ac:dyDescent="0.25">
      <c r="AU621" s="13"/>
      <c r="AX621" s="13"/>
    </row>
    <row r="622" spans="47:50" x14ac:dyDescent="0.25">
      <c r="AU622" s="13"/>
      <c r="AX622" s="13"/>
    </row>
    <row r="623" spans="47:50" x14ac:dyDescent="0.25">
      <c r="AU623" s="13"/>
      <c r="AX623" s="13"/>
    </row>
    <row r="624" spans="47:50" x14ac:dyDescent="0.25">
      <c r="AU624" s="13"/>
      <c r="AX624" s="13"/>
    </row>
    <row r="625" spans="47:50" x14ac:dyDescent="0.25">
      <c r="AU625" s="13"/>
      <c r="AX625" s="13"/>
    </row>
    <row r="626" spans="47:50" x14ac:dyDescent="0.25">
      <c r="AU626" s="13"/>
      <c r="AX626" s="13"/>
    </row>
    <row r="627" spans="47:50" x14ac:dyDescent="0.25">
      <c r="AU627" s="13"/>
      <c r="AX627" s="13"/>
    </row>
    <row r="628" spans="47:50" x14ac:dyDescent="0.25">
      <c r="AU628" s="13"/>
      <c r="AX628" s="13"/>
    </row>
    <row r="629" spans="47:50" x14ac:dyDescent="0.25">
      <c r="AU629" s="13"/>
      <c r="AX629" s="13"/>
    </row>
    <row r="630" spans="47:50" x14ac:dyDescent="0.25">
      <c r="AU630" s="13"/>
      <c r="AX630" s="13"/>
    </row>
    <row r="631" spans="47:50" x14ac:dyDescent="0.25">
      <c r="AU631" s="13"/>
      <c r="AX631" s="13"/>
    </row>
    <row r="632" spans="47:50" x14ac:dyDescent="0.25">
      <c r="AU632" s="13"/>
      <c r="AX632" s="13"/>
    </row>
    <row r="633" spans="47:50" x14ac:dyDescent="0.25">
      <c r="AU633" s="13"/>
      <c r="AX633" s="13"/>
    </row>
    <row r="634" spans="47:50" x14ac:dyDescent="0.25">
      <c r="AU634" s="13"/>
      <c r="AX634" s="13"/>
    </row>
    <row r="635" spans="47:50" x14ac:dyDescent="0.25">
      <c r="AU635" s="13"/>
      <c r="AX635" s="13"/>
    </row>
    <row r="636" spans="47:50" x14ac:dyDescent="0.25">
      <c r="AU636" s="13"/>
      <c r="AX636" s="13"/>
    </row>
    <row r="637" spans="47:50" x14ac:dyDescent="0.25">
      <c r="AU637" s="13"/>
      <c r="AX637" s="13"/>
    </row>
    <row r="638" spans="47:50" x14ac:dyDescent="0.25">
      <c r="AU638" s="13"/>
      <c r="AX638" s="13"/>
    </row>
    <row r="639" spans="47:50" x14ac:dyDescent="0.25">
      <c r="AU639" s="13"/>
      <c r="AX639" s="13"/>
    </row>
    <row r="640" spans="47:50" x14ac:dyDescent="0.25">
      <c r="AU640" s="13"/>
      <c r="AX640" s="13"/>
    </row>
    <row r="641" spans="47:50" x14ac:dyDescent="0.25">
      <c r="AU641" s="13"/>
      <c r="AX641" s="13"/>
    </row>
    <row r="642" spans="47:50" x14ac:dyDescent="0.25">
      <c r="AU642" s="13"/>
      <c r="AX642" s="13"/>
    </row>
    <row r="643" spans="47:50" x14ac:dyDescent="0.25">
      <c r="AU643" s="13"/>
      <c r="AX643" s="13"/>
    </row>
    <row r="644" spans="47:50" x14ac:dyDescent="0.25">
      <c r="AU644" s="13"/>
      <c r="AX644" s="13"/>
    </row>
    <row r="645" spans="47:50" x14ac:dyDescent="0.25">
      <c r="AU645" s="13"/>
      <c r="AX645" s="13"/>
    </row>
    <row r="646" spans="47:50" x14ac:dyDescent="0.25">
      <c r="AU646" s="13"/>
      <c r="AX646" s="13"/>
    </row>
    <row r="647" spans="47:50" x14ac:dyDescent="0.25">
      <c r="AU647" s="13"/>
      <c r="AX647" s="13"/>
    </row>
    <row r="648" spans="47:50" x14ac:dyDescent="0.25">
      <c r="AU648" s="13"/>
      <c r="AX648" s="13"/>
    </row>
    <row r="649" spans="47:50" x14ac:dyDescent="0.25">
      <c r="AU649" s="13"/>
      <c r="AX649" s="13"/>
    </row>
    <row r="650" spans="47:50" x14ac:dyDescent="0.25">
      <c r="AU650" s="13"/>
      <c r="AX650" s="13"/>
    </row>
    <row r="651" spans="47:50" x14ac:dyDescent="0.25">
      <c r="AU651" s="13"/>
      <c r="AX651" s="13"/>
    </row>
    <row r="652" spans="47:50" x14ac:dyDescent="0.25">
      <c r="AU652" s="13"/>
      <c r="AX652" s="13"/>
    </row>
    <row r="653" spans="47:50" x14ac:dyDescent="0.25">
      <c r="AU653" s="13"/>
      <c r="AX653" s="13"/>
    </row>
    <row r="654" spans="47:50" x14ac:dyDescent="0.25">
      <c r="AU654" s="13"/>
      <c r="AX654" s="13"/>
    </row>
    <row r="655" spans="47:50" x14ac:dyDescent="0.25">
      <c r="AU655" s="13"/>
      <c r="AX655" s="13"/>
    </row>
    <row r="656" spans="47:50" x14ac:dyDescent="0.25">
      <c r="AU656" s="13"/>
      <c r="AX656" s="13"/>
    </row>
    <row r="657" spans="47:50" x14ac:dyDescent="0.25">
      <c r="AU657" s="13"/>
      <c r="AX657" s="13"/>
    </row>
    <row r="658" spans="47:50" x14ac:dyDescent="0.25">
      <c r="AU658" s="13"/>
      <c r="AX658" s="13"/>
    </row>
    <row r="659" spans="47:50" x14ac:dyDescent="0.25">
      <c r="AU659" s="13"/>
      <c r="AX659" s="13"/>
    </row>
    <row r="660" spans="47:50" x14ac:dyDescent="0.25">
      <c r="AU660" s="13"/>
      <c r="AX660" s="13"/>
    </row>
    <row r="661" spans="47:50" x14ac:dyDescent="0.25">
      <c r="AU661" s="13"/>
      <c r="AX661" s="13"/>
    </row>
    <row r="662" spans="47:50" x14ac:dyDescent="0.25">
      <c r="AU662" s="13"/>
      <c r="AX662" s="13"/>
    </row>
    <row r="663" spans="47:50" x14ac:dyDescent="0.25">
      <c r="AU663" s="13"/>
      <c r="AX663" s="13"/>
    </row>
    <row r="664" spans="47:50" x14ac:dyDescent="0.25">
      <c r="AU664" s="13"/>
      <c r="AX664" s="13"/>
    </row>
    <row r="665" spans="47:50" x14ac:dyDescent="0.25">
      <c r="AU665" s="13"/>
      <c r="AX665" s="13"/>
    </row>
    <row r="666" spans="47:50" x14ac:dyDescent="0.25">
      <c r="AU666" s="13"/>
      <c r="AX666" s="13"/>
    </row>
    <row r="667" spans="47:50" x14ac:dyDescent="0.25">
      <c r="AU667" s="13"/>
      <c r="AX667" s="13"/>
    </row>
    <row r="668" spans="47:50" x14ac:dyDescent="0.25">
      <c r="AU668" s="13"/>
      <c r="AX668" s="13"/>
    </row>
    <row r="669" spans="47:50" x14ac:dyDescent="0.25">
      <c r="AU669" s="13"/>
      <c r="AX669" s="13"/>
    </row>
    <row r="670" spans="47:50" x14ac:dyDescent="0.25">
      <c r="AU670" s="13"/>
      <c r="AX670" s="13"/>
    </row>
    <row r="671" spans="47:50" x14ac:dyDescent="0.25">
      <c r="AU671" s="13"/>
      <c r="AX671" s="13"/>
    </row>
    <row r="672" spans="47:50" x14ac:dyDescent="0.25">
      <c r="AU672" s="13"/>
      <c r="AX672" s="13"/>
    </row>
    <row r="673" spans="47:50" x14ac:dyDescent="0.25">
      <c r="AU673" s="13"/>
      <c r="AX673" s="13"/>
    </row>
    <row r="674" spans="47:50" x14ac:dyDescent="0.25">
      <c r="AU674" s="13"/>
      <c r="AX674" s="13"/>
    </row>
    <row r="675" spans="47:50" x14ac:dyDescent="0.25">
      <c r="AU675" s="13"/>
      <c r="AX675" s="13"/>
    </row>
    <row r="676" spans="47:50" x14ac:dyDescent="0.25">
      <c r="AU676" s="13"/>
      <c r="AX676" s="13"/>
    </row>
  </sheetData>
  <autoFilter ref="A4:BF210" xr:uid="{00000000-0009-0000-0000-000004000000}"/>
  <sortState xmlns:xlrd2="http://schemas.microsoft.com/office/spreadsheetml/2017/richdata2" ref="A190:DU191">
    <sortCondition ref="A190"/>
  </sortState>
  <phoneticPr fontId="8" type="noConversion"/>
  <pageMargins left="0.75" right="0.75" top="1" bottom="1" header="0.5" footer="0.5"/>
  <pageSetup orientation="landscape" r:id="rId1"/>
  <headerFooter alignWithMargins="0">
    <oddFooter>&amp;L&amp;8ND Department of Public Instruction&amp;C&amp;8Page &amp;P of &amp;N&amp;R&amp;8&amp;F &amp;D AJT</oddFooter>
  </headerFooter>
  <ignoredErrors>
    <ignoredError sqref="CF45:CG45" formulaRange="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F127"/>
  <sheetViews>
    <sheetView workbookViewId="0">
      <selection activeCell="G4" sqref="G4"/>
    </sheetView>
  </sheetViews>
  <sheetFormatPr defaultRowHeight="13.2" x14ac:dyDescent="0.25"/>
  <cols>
    <col min="1" max="1" width="4.5546875" bestFit="1" customWidth="1"/>
    <col min="2" max="2" width="33.33203125" bestFit="1" customWidth="1"/>
    <col min="3" max="3" width="12.109375" customWidth="1"/>
    <col min="4" max="5" width="12.6640625" customWidth="1"/>
    <col min="6" max="6" width="12.33203125" bestFit="1" customWidth="1"/>
  </cols>
  <sheetData>
    <row r="1" spans="1:6" x14ac:dyDescent="0.25">
      <c r="B1" t="s">
        <v>340</v>
      </c>
      <c r="C1" s="89">
        <f>CoDist</f>
        <v>0</v>
      </c>
      <c r="F1" t="s">
        <v>997</v>
      </c>
    </row>
    <row r="3" spans="1:6" x14ac:dyDescent="0.25">
      <c r="A3" s="90" t="s">
        <v>244</v>
      </c>
      <c r="B3" s="90" t="s">
        <v>819</v>
      </c>
      <c r="C3" t="s">
        <v>768</v>
      </c>
      <c r="D3" t="s">
        <v>769</v>
      </c>
    </row>
    <row r="4" spans="1:6" x14ac:dyDescent="0.25">
      <c r="A4">
        <v>1</v>
      </c>
      <c r="B4" t="s">
        <v>703</v>
      </c>
      <c r="C4" s="93" t="str">
        <f>"20"&amp;RIGHT(SchoolYear,2)</f>
        <v>2027</v>
      </c>
      <c r="D4" t="str">
        <f t="shared" ref="D4:D17" si="0">+C4</f>
        <v>2027</v>
      </c>
      <c r="F4">
        <v>4</v>
      </c>
    </row>
    <row r="5" spans="1:6" x14ac:dyDescent="0.25">
      <c r="A5">
        <v>2</v>
      </c>
      <c r="B5" t="s">
        <v>340</v>
      </c>
      <c r="C5" s="91">
        <f>CoDist</f>
        <v>0</v>
      </c>
      <c r="D5">
        <f t="shared" si="0"/>
        <v>0</v>
      </c>
      <c r="F5">
        <v>1</v>
      </c>
    </row>
    <row r="6" spans="1:6" x14ac:dyDescent="0.25">
      <c r="A6">
        <v>3</v>
      </c>
      <c r="B6" t="s">
        <v>704</v>
      </c>
      <c r="C6" s="93">
        <f>Pay(PmtMonth,5)</f>
        <v>1</v>
      </c>
      <c r="D6">
        <f t="shared" si="0"/>
        <v>1</v>
      </c>
    </row>
    <row r="7" spans="1:6" x14ac:dyDescent="0.25">
      <c r="A7">
        <v>4</v>
      </c>
      <c r="B7" t="s">
        <v>705</v>
      </c>
      <c r="C7" t="e">
        <f>SpedPercent</f>
        <v>#N/A</v>
      </c>
      <c r="D7" t="e">
        <f t="shared" si="0"/>
        <v>#N/A</v>
      </c>
      <c r="F7">
        <v>8</v>
      </c>
    </row>
    <row r="8" spans="1:6" x14ac:dyDescent="0.25">
      <c r="A8">
        <v>5</v>
      </c>
      <c r="B8" s="92" t="s">
        <v>706</v>
      </c>
      <c r="C8" t="e">
        <f>+Baseline</f>
        <v>#N/A</v>
      </c>
      <c r="D8" t="e">
        <f t="shared" si="0"/>
        <v>#N/A</v>
      </c>
      <c r="F8">
        <v>10</v>
      </c>
    </row>
    <row r="9" spans="1:6" x14ac:dyDescent="0.25">
      <c r="A9">
        <v>6</v>
      </c>
      <c r="B9" t="s">
        <v>707</v>
      </c>
      <c r="C9" t="e">
        <f>+TaxValue</f>
        <v>#N/A</v>
      </c>
      <c r="D9" t="e">
        <f t="shared" si="0"/>
        <v>#N/A</v>
      </c>
      <c r="F9">
        <v>14</v>
      </c>
    </row>
    <row r="10" spans="1:6" x14ac:dyDescent="0.25">
      <c r="A10">
        <v>7</v>
      </c>
      <c r="B10" s="148" t="s">
        <v>708</v>
      </c>
      <c r="D10">
        <f t="shared" si="0"/>
        <v>0</v>
      </c>
    </row>
    <row r="11" spans="1:6" x14ac:dyDescent="0.25">
      <c r="A11">
        <v>8</v>
      </c>
      <c r="B11" s="148" t="s">
        <v>709</v>
      </c>
      <c r="D11">
        <f t="shared" si="0"/>
        <v>0</v>
      </c>
    </row>
    <row r="12" spans="1:6" x14ac:dyDescent="0.25">
      <c r="A12">
        <v>9</v>
      </c>
      <c r="B12" s="148" t="s">
        <v>710</v>
      </c>
      <c r="D12">
        <f t="shared" si="0"/>
        <v>0</v>
      </c>
    </row>
    <row r="13" spans="1:6" x14ac:dyDescent="0.25">
      <c r="A13">
        <v>10</v>
      </c>
      <c r="B13" t="s">
        <v>711</v>
      </c>
      <c r="C13" t="e">
        <f>+EFB</f>
        <v>#N/A</v>
      </c>
      <c r="D13" t="e">
        <f t="shared" si="0"/>
        <v>#N/A</v>
      </c>
      <c r="F13">
        <v>15</v>
      </c>
    </row>
    <row r="14" spans="1:6" x14ac:dyDescent="0.25">
      <c r="A14">
        <v>11</v>
      </c>
      <c r="B14" t="s">
        <v>712</v>
      </c>
      <c r="C14" t="e">
        <f>+Expend</f>
        <v>#N/A</v>
      </c>
      <c r="D14" t="e">
        <f t="shared" si="0"/>
        <v>#N/A</v>
      </c>
      <c r="F14">
        <v>16</v>
      </c>
    </row>
    <row r="15" spans="1:6" x14ac:dyDescent="0.25">
      <c r="A15">
        <v>12</v>
      </c>
      <c r="B15" t="s">
        <v>713</v>
      </c>
      <c r="C15" t="e">
        <f>TuitionRevenue</f>
        <v>#N/A</v>
      </c>
      <c r="D15" t="e">
        <f t="shared" si="0"/>
        <v>#N/A</v>
      </c>
      <c r="F15">
        <v>17</v>
      </c>
    </row>
    <row r="16" spans="1:6" x14ac:dyDescent="0.25">
      <c r="A16">
        <v>13</v>
      </c>
      <c r="B16" t="s">
        <v>714</v>
      </c>
      <c r="C16" t="e">
        <f>CountyRevenue</f>
        <v>#N/A</v>
      </c>
      <c r="D16" t="e">
        <f t="shared" si="0"/>
        <v>#N/A</v>
      </c>
      <c r="F16">
        <v>18</v>
      </c>
    </row>
    <row r="17" spans="1:6" x14ac:dyDescent="0.25">
      <c r="A17">
        <v>14</v>
      </c>
      <c r="B17" t="s">
        <v>715</v>
      </c>
      <c r="C17" t="e">
        <f>ADMPk</f>
        <v>#N/A</v>
      </c>
      <c r="D17" t="e">
        <f t="shared" si="0"/>
        <v>#N/A</v>
      </c>
      <c r="F17">
        <v>23</v>
      </c>
    </row>
    <row r="18" spans="1:6" x14ac:dyDescent="0.25">
      <c r="A18">
        <v>15</v>
      </c>
      <c r="B18" s="148" t="s">
        <v>716</v>
      </c>
      <c r="D18" t="e">
        <f>IF(C19="N",C17,C18)</f>
        <v>#N/A</v>
      </c>
    </row>
    <row r="19" spans="1:6" x14ac:dyDescent="0.25">
      <c r="A19">
        <v>16</v>
      </c>
      <c r="B19" s="148" t="s">
        <v>717</v>
      </c>
      <c r="C19" t="s">
        <v>687</v>
      </c>
      <c r="D19" t="str">
        <f>+C19</f>
        <v>N</v>
      </c>
    </row>
    <row r="20" spans="1:6" x14ac:dyDescent="0.25">
      <c r="A20">
        <v>17</v>
      </c>
      <c r="B20" t="s">
        <v>718</v>
      </c>
      <c r="C20" t="e">
        <f>ADMKg</f>
        <v>#N/A</v>
      </c>
      <c r="D20" t="e">
        <f>+C20</f>
        <v>#N/A</v>
      </c>
      <c r="F20">
        <v>24</v>
      </c>
    </row>
    <row r="21" spans="1:6" x14ac:dyDescent="0.25">
      <c r="A21">
        <v>18</v>
      </c>
      <c r="B21" s="148" t="s">
        <v>719</v>
      </c>
      <c r="D21" t="e">
        <f>IF(C22="N",C20,C21)</f>
        <v>#N/A</v>
      </c>
    </row>
    <row r="22" spans="1:6" x14ac:dyDescent="0.25">
      <c r="A22">
        <v>19</v>
      </c>
      <c r="B22" s="148" t="s">
        <v>720</v>
      </c>
      <c r="C22" t="s">
        <v>687</v>
      </c>
      <c r="D22" t="str">
        <f>+C22</f>
        <v>N</v>
      </c>
    </row>
    <row r="23" spans="1:6" x14ac:dyDescent="0.25">
      <c r="A23">
        <v>20</v>
      </c>
      <c r="B23" t="s">
        <v>721</v>
      </c>
      <c r="C23" t="e">
        <f>_ADM16</f>
        <v>#N/A</v>
      </c>
      <c r="D23" t="e">
        <f>+C23</f>
        <v>#N/A</v>
      </c>
      <c r="F23">
        <v>25</v>
      </c>
    </row>
    <row r="24" spans="1:6" x14ac:dyDescent="0.25">
      <c r="A24">
        <v>21</v>
      </c>
      <c r="B24" s="148" t="s">
        <v>722</v>
      </c>
      <c r="D24" t="e">
        <f>IF(C25="N",C23,C24)</f>
        <v>#N/A</v>
      </c>
    </row>
    <row r="25" spans="1:6" x14ac:dyDescent="0.25">
      <c r="A25">
        <v>22</v>
      </c>
      <c r="B25" s="148" t="s">
        <v>723</v>
      </c>
      <c r="C25" t="s">
        <v>687</v>
      </c>
      <c r="D25" t="str">
        <f>+C25</f>
        <v>N</v>
      </c>
    </row>
    <row r="26" spans="1:6" x14ac:dyDescent="0.25">
      <c r="A26">
        <v>23</v>
      </c>
      <c r="B26" t="s">
        <v>724</v>
      </c>
      <c r="C26" t="e">
        <f>_ADM78</f>
        <v>#N/A</v>
      </c>
      <c r="D26" t="e">
        <f>+C26</f>
        <v>#N/A</v>
      </c>
      <c r="F26">
        <v>26</v>
      </c>
    </row>
    <row r="27" spans="1:6" x14ac:dyDescent="0.25">
      <c r="A27">
        <v>24</v>
      </c>
      <c r="B27" s="148" t="s">
        <v>725</v>
      </c>
      <c r="D27" t="e">
        <f>IF(C28="N",C26,C27)</f>
        <v>#N/A</v>
      </c>
    </row>
    <row r="28" spans="1:6" x14ac:dyDescent="0.25">
      <c r="A28">
        <v>25</v>
      </c>
      <c r="B28" s="148" t="s">
        <v>726</v>
      </c>
      <c r="C28" t="s">
        <v>687</v>
      </c>
      <c r="D28" t="str">
        <f>+C28</f>
        <v>N</v>
      </c>
    </row>
    <row r="29" spans="1:6" x14ac:dyDescent="0.25">
      <c r="A29">
        <v>26</v>
      </c>
      <c r="B29" t="s">
        <v>727</v>
      </c>
      <c r="C29" t="e">
        <f>_ADM912</f>
        <v>#N/A</v>
      </c>
      <c r="D29" t="e">
        <f>+C29</f>
        <v>#N/A</v>
      </c>
      <c r="F29">
        <v>27</v>
      </c>
    </row>
    <row r="30" spans="1:6" x14ac:dyDescent="0.25">
      <c r="A30">
        <v>27</v>
      </c>
      <c r="B30" s="148" t="s">
        <v>728</v>
      </c>
      <c r="D30" t="e">
        <f>IF(C31="N",C29,C30)</f>
        <v>#N/A</v>
      </c>
    </row>
    <row r="31" spans="1:6" x14ac:dyDescent="0.25">
      <c r="A31">
        <v>28</v>
      </c>
      <c r="B31" s="148" t="s">
        <v>729</v>
      </c>
      <c r="C31" t="s">
        <v>687</v>
      </c>
      <c r="D31" t="str">
        <f>+C31</f>
        <v>N</v>
      </c>
    </row>
    <row r="32" spans="1:6" x14ac:dyDescent="0.25">
      <c r="A32">
        <v>29</v>
      </c>
      <c r="B32" t="s">
        <v>730</v>
      </c>
      <c r="C32" t="e">
        <f>ADMAltHS</f>
        <v>#N/A</v>
      </c>
      <c r="D32" t="e">
        <f>+C32</f>
        <v>#N/A</v>
      </c>
      <c r="F32">
        <v>28</v>
      </c>
    </row>
    <row r="33" spans="1:6" x14ac:dyDescent="0.25">
      <c r="A33">
        <v>30</v>
      </c>
      <c r="B33" s="148" t="s">
        <v>731</v>
      </c>
      <c r="D33" t="e">
        <f>IF(C34="N",C32,C33)</f>
        <v>#N/A</v>
      </c>
    </row>
    <row r="34" spans="1:6" x14ac:dyDescent="0.25">
      <c r="A34">
        <v>31</v>
      </c>
      <c r="B34" s="148" t="s">
        <v>732</v>
      </c>
      <c r="C34" t="s">
        <v>687</v>
      </c>
      <c r="D34" t="str">
        <f>+C34</f>
        <v>N</v>
      </c>
    </row>
    <row r="35" spans="1:6" x14ac:dyDescent="0.25">
      <c r="A35">
        <v>32</v>
      </c>
      <c r="B35" t="s">
        <v>11</v>
      </c>
      <c r="C35" t="e">
        <f>SS</f>
        <v>#N/A</v>
      </c>
      <c r="D35" t="e">
        <f>+C35</f>
        <v>#N/A</v>
      </c>
      <c r="F35">
        <v>35</v>
      </c>
    </row>
    <row r="36" spans="1:6" x14ac:dyDescent="0.25">
      <c r="A36">
        <v>33</v>
      </c>
      <c r="B36" s="148" t="s">
        <v>733</v>
      </c>
      <c r="D36" t="e">
        <f>IF(C37="N",C35,C36)</f>
        <v>#N/A</v>
      </c>
    </row>
    <row r="37" spans="1:6" x14ac:dyDescent="0.25">
      <c r="A37">
        <v>34</v>
      </c>
      <c r="B37" s="148" t="s">
        <v>734</v>
      </c>
      <c r="C37" t="s">
        <v>687</v>
      </c>
      <c r="D37" t="str">
        <f>+C37</f>
        <v>N</v>
      </c>
    </row>
    <row r="38" spans="1:6" x14ac:dyDescent="0.25">
      <c r="A38">
        <v>35</v>
      </c>
      <c r="B38" s="148" t="s">
        <v>735</v>
      </c>
      <c r="C38">
        <v>0</v>
      </c>
      <c r="D38">
        <f>+C38</f>
        <v>0</v>
      </c>
    </row>
    <row r="39" spans="1:6" x14ac:dyDescent="0.25">
      <c r="A39">
        <v>36</v>
      </c>
      <c r="B39" s="148" t="s">
        <v>736</v>
      </c>
      <c r="D39">
        <f>IF(C40="N",C38,C39)</f>
        <v>0</v>
      </c>
    </row>
    <row r="40" spans="1:6" x14ac:dyDescent="0.25">
      <c r="A40">
        <v>37</v>
      </c>
      <c r="B40" s="148" t="s">
        <v>737</v>
      </c>
      <c r="C40" t="s">
        <v>687</v>
      </c>
      <c r="D40" t="str">
        <f>+C40</f>
        <v>N</v>
      </c>
    </row>
    <row r="41" spans="1:6" x14ac:dyDescent="0.25">
      <c r="A41">
        <v>38</v>
      </c>
      <c r="B41" s="148" t="s">
        <v>738</v>
      </c>
      <c r="C41">
        <v>0</v>
      </c>
      <c r="D41">
        <f>+C41</f>
        <v>0</v>
      </c>
    </row>
    <row r="42" spans="1:6" x14ac:dyDescent="0.25">
      <c r="A42">
        <v>39</v>
      </c>
      <c r="B42" s="148" t="s">
        <v>739</v>
      </c>
      <c r="D42">
        <f>IF(C43="N",C41,C42)</f>
        <v>0</v>
      </c>
    </row>
    <row r="43" spans="1:6" x14ac:dyDescent="0.25">
      <c r="A43">
        <v>40</v>
      </c>
      <c r="B43" s="148" t="s">
        <v>740</v>
      </c>
      <c r="C43" t="s">
        <v>687</v>
      </c>
      <c r="D43" t="str">
        <f>+C43</f>
        <v>N</v>
      </c>
    </row>
    <row r="44" spans="1:6" x14ac:dyDescent="0.25">
      <c r="A44">
        <v>41</v>
      </c>
      <c r="B44" t="s">
        <v>12</v>
      </c>
      <c r="C44" t="e">
        <f>HomeSch</f>
        <v>#N/A</v>
      </c>
      <c r="D44" t="e">
        <f>+C44</f>
        <v>#N/A</v>
      </c>
      <c r="F44">
        <v>33</v>
      </c>
    </row>
    <row r="45" spans="1:6" x14ac:dyDescent="0.25">
      <c r="A45">
        <v>42</v>
      </c>
      <c r="B45" s="148" t="s">
        <v>741</v>
      </c>
      <c r="D45" t="e">
        <f>IF(C46="N",C44,C45)</f>
        <v>#N/A</v>
      </c>
    </row>
    <row r="46" spans="1:6" x14ac:dyDescent="0.25">
      <c r="A46">
        <v>43</v>
      </c>
      <c r="B46" s="148" t="s">
        <v>742</v>
      </c>
      <c r="C46" t="s">
        <v>687</v>
      </c>
      <c r="D46" t="str">
        <f>+C46</f>
        <v>N</v>
      </c>
    </row>
    <row r="47" spans="1:6" x14ac:dyDescent="0.25">
      <c r="A47">
        <v>44</v>
      </c>
      <c r="B47" s="148" t="s">
        <v>13</v>
      </c>
      <c r="D47">
        <f>+C47</f>
        <v>0</v>
      </c>
    </row>
    <row r="48" spans="1:6" x14ac:dyDescent="0.25">
      <c r="A48">
        <v>45</v>
      </c>
      <c r="B48" s="148" t="s">
        <v>743</v>
      </c>
      <c r="D48">
        <f>IF(C49="N",C47,C48)</f>
        <v>0</v>
      </c>
    </row>
    <row r="49" spans="1:6" x14ac:dyDescent="0.25">
      <c r="A49">
        <v>46</v>
      </c>
      <c r="B49" s="148" t="s">
        <v>744</v>
      </c>
      <c r="C49" t="s">
        <v>687</v>
      </c>
      <c r="D49" t="str">
        <f>+C49</f>
        <v>N</v>
      </c>
    </row>
    <row r="50" spans="1:6" x14ac:dyDescent="0.25">
      <c r="A50">
        <v>47</v>
      </c>
      <c r="B50" t="s">
        <v>745</v>
      </c>
      <c r="C50" t="e">
        <f>ESYSpEd</f>
        <v>#N/A</v>
      </c>
      <c r="D50" t="e">
        <f>+C50</f>
        <v>#N/A</v>
      </c>
      <c r="F50">
        <v>36</v>
      </c>
    </row>
    <row r="51" spans="1:6" x14ac:dyDescent="0.25">
      <c r="A51">
        <v>48</v>
      </c>
      <c r="B51" s="148" t="s">
        <v>746</v>
      </c>
      <c r="D51" t="e">
        <f>IF(C52="N",C50,C51)</f>
        <v>#N/A</v>
      </c>
    </row>
    <row r="52" spans="1:6" x14ac:dyDescent="0.25">
      <c r="A52">
        <v>49</v>
      </c>
      <c r="B52" s="148" t="s">
        <v>747</v>
      </c>
      <c r="C52" t="s">
        <v>687</v>
      </c>
      <c r="D52" t="str">
        <f>+C52</f>
        <v>N</v>
      </c>
    </row>
    <row r="53" spans="1:6" x14ac:dyDescent="0.25">
      <c r="A53">
        <v>50</v>
      </c>
      <c r="B53" s="148" t="s">
        <v>15</v>
      </c>
      <c r="D53">
        <f>+C53</f>
        <v>0</v>
      </c>
    </row>
    <row r="54" spans="1:6" x14ac:dyDescent="0.25">
      <c r="A54">
        <v>51</v>
      </c>
      <c r="B54" s="148" t="s">
        <v>748</v>
      </c>
      <c r="D54">
        <f>IF(C55="N",C53,C54)</f>
        <v>0</v>
      </c>
    </row>
    <row r="55" spans="1:6" x14ac:dyDescent="0.25">
      <c r="A55">
        <v>52</v>
      </c>
      <c r="B55" s="148" t="s">
        <v>749</v>
      </c>
      <c r="C55" t="s">
        <v>687</v>
      </c>
      <c r="D55" t="str">
        <f>+C55</f>
        <v>N</v>
      </c>
    </row>
    <row r="56" spans="1:6" x14ac:dyDescent="0.25">
      <c r="A56">
        <v>53</v>
      </c>
      <c r="B56" s="148" t="s">
        <v>750</v>
      </c>
      <c r="C56" t="s">
        <v>687</v>
      </c>
      <c r="D56" t="str">
        <f>+C56</f>
        <v>N</v>
      </c>
    </row>
    <row r="57" spans="1:6" x14ac:dyDescent="0.25">
      <c r="A57" s="250">
        <v>54</v>
      </c>
      <c r="B57" s="251" t="s">
        <v>232</v>
      </c>
      <c r="C57" s="250"/>
      <c r="D57" s="250">
        <f>+C57</f>
        <v>0</v>
      </c>
      <c r="E57" s="250"/>
      <c r="F57" s="250">
        <v>37</v>
      </c>
    </row>
    <row r="58" spans="1:6" x14ac:dyDescent="0.25">
      <c r="A58">
        <v>55</v>
      </c>
      <c r="B58" s="148" t="s">
        <v>751</v>
      </c>
      <c r="D58">
        <f>IF(C59="N",C57,C58)</f>
        <v>0</v>
      </c>
    </row>
    <row r="59" spans="1:6" x14ac:dyDescent="0.25">
      <c r="A59">
        <v>56</v>
      </c>
      <c r="B59" s="148" t="s">
        <v>752</v>
      </c>
      <c r="C59" t="s">
        <v>687</v>
      </c>
      <c r="D59" t="str">
        <f>IF(C60="N",C58,C59)</f>
        <v>N</v>
      </c>
    </row>
    <row r="60" spans="1:6" x14ac:dyDescent="0.25">
      <c r="A60" s="250">
        <v>57</v>
      </c>
      <c r="B60" s="251" t="s">
        <v>233</v>
      </c>
      <c r="C60" s="250"/>
      <c r="D60" s="250">
        <f>+C60</f>
        <v>0</v>
      </c>
      <c r="E60" s="250"/>
      <c r="F60" s="250">
        <v>38</v>
      </c>
    </row>
    <row r="61" spans="1:6" x14ac:dyDescent="0.25">
      <c r="A61">
        <v>58</v>
      </c>
      <c r="B61" s="148" t="s">
        <v>753</v>
      </c>
      <c r="D61">
        <f>IF(C62="N",C60,C61)</f>
        <v>0</v>
      </c>
    </row>
    <row r="62" spans="1:6" x14ac:dyDescent="0.25">
      <c r="A62">
        <v>59</v>
      </c>
      <c r="B62" s="148" t="s">
        <v>754</v>
      </c>
      <c r="C62" t="s">
        <v>687</v>
      </c>
      <c r="D62" t="str">
        <f>IF(C63="N",C61,C62)</f>
        <v>N</v>
      </c>
    </row>
    <row r="63" spans="1:6" x14ac:dyDescent="0.25">
      <c r="A63" s="250">
        <v>60</v>
      </c>
      <c r="B63" s="251" t="s">
        <v>234</v>
      </c>
      <c r="C63" s="250"/>
      <c r="D63" s="250">
        <f>+C63</f>
        <v>0</v>
      </c>
      <c r="E63" s="250"/>
      <c r="F63" s="250">
        <v>39</v>
      </c>
    </row>
    <row r="64" spans="1:6" x14ac:dyDescent="0.25">
      <c r="A64">
        <v>61</v>
      </c>
      <c r="B64" s="148" t="s">
        <v>755</v>
      </c>
      <c r="D64">
        <f>IF(C65="N",C63,C64)</f>
        <v>0</v>
      </c>
    </row>
    <row r="65" spans="1:6" x14ac:dyDescent="0.25">
      <c r="A65">
        <v>62</v>
      </c>
      <c r="B65" s="148" t="s">
        <v>756</v>
      </c>
      <c r="C65" t="s">
        <v>687</v>
      </c>
      <c r="D65" t="str">
        <f>IF(C66="N",C64,C65)</f>
        <v>N</v>
      </c>
    </row>
    <row r="66" spans="1:6" x14ac:dyDescent="0.25">
      <c r="A66" s="250">
        <v>63</v>
      </c>
      <c r="B66" s="251" t="s">
        <v>239</v>
      </c>
      <c r="C66" s="250"/>
      <c r="D66" s="250">
        <f>+C66</f>
        <v>0</v>
      </c>
      <c r="E66" s="250"/>
      <c r="F66" s="250">
        <v>40</v>
      </c>
    </row>
    <row r="67" spans="1:6" x14ac:dyDescent="0.25">
      <c r="A67">
        <v>64</v>
      </c>
      <c r="B67" s="148" t="s">
        <v>757</v>
      </c>
      <c r="D67">
        <f>IF(C68="N",C66,C67)</f>
        <v>0</v>
      </c>
    </row>
    <row r="68" spans="1:6" x14ac:dyDescent="0.25">
      <c r="A68">
        <v>65</v>
      </c>
      <c r="B68" s="148" t="s">
        <v>758</v>
      </c>
      <c r="C68" t="s">
        <v>687</v>
      </c>
      <c r="D68" t="str">
        <f>IF(C69="N",C67,C68)</f>
        <v>N</v>
      </c>
    </row>
    <row r="69" spans="1:6" x14ac:dyDescent="0.25">
      <c r="A69" s="250">
        <v>66</v>
      </c>
      <c r="B69" s="251" t="s">
        <v>238</v>
      </c>
      <c r="C69" s="250"/>
      <c r="D69" s="250">
        <f>+C69</f>
        <v>0</v>
      </c>
      <c r="E69" s="250"/>
      <c r="F69" s="250">
        <v>41</v>
      </c>
    </row>
    <row r="70" spans="1:6" x14ac:dyDescent="0.25">
      <c r="A70">
        <v>67</v>
      </c>
      <c r="B70" s="148" t="s">
        <v>759</v>
      </c>
      <c r="D70">
        <f>IF(C71="N",C69,C70)</f>
        <v>0</v>
      </c>
    </row>
    <row r="71" spans="1:6" x14ac:dyDescent="0.25">
      <c r="A71">
        <v>68</v>
      </c>
      <c r="B71" s="148" t="s">
        <v>760</v>
      </c>
      <c r="C71" t="s">
        <v>687</v>
      </c>
      <c r="D71" t="str">
        <f>IF(C72="N",C70,C71)</f>
        <v>N</v>
      </c>
    </row>
    <row r="72" spans="1:6" x14ac:dyDescent="0.25">
      <c r="A72" s="250">
        <v>69</v>
      </c>
      <c r="B72" s="251" t="s">
        <v>235</v>
      </c>
      <c r="C72" s="250"/>
      <c r="D72" s="250">
        <f>+C72</f>
        <v>0</v>
      </c>
      <c r="E72" s="250"/>
      <c r="F72" s="250">
        <v>42</v>
      </c>
    </row>
    <row r="73" spans="1:6" x14ac:dyDescent="0.25">
      <c r="A73">
        <v>70</v>
      </c>
      <c r="B73" s="148" t="s">
        <v>761</v>
      </c>
      <c r="D73">
        <f>IF(C74="N",C72,C73)</f>
        <v>0</v>
      </c>
    </row>
    <row r="74" spans="1:6" x14ac:dyDescent="0.25">
      <c r="A74">
        <v>71</v>
      </c>
      <c r="B74" s="148" t="s">
        <v>762</v>
      </c>
      <c r="C74" t="s">
        <v>687</v>
      </c>
      <c r="D74" t="e">
        <f>IF(C75="N",C73,C74)</f>
        <v>#N/A</v>
      </c>
    </row>
    <row r="75" spans="1:6" x14ac:dyDescent="0.25">
      <c r="A75">
        <v>72</v>
      </c>
      <c r="B75" t="s">
        <v>237</v>
      </c>
      <c r="C75" t="e">
        <f>FamilyToSchool</f>
        <v>#N/A</v>
      </c>
      <c r="D75" t="e">
        <f>+C75</f>
        <v>#N/A</v>
      </c>
      <c r="F75">
        <v>43</v>
      </c>
    </row>
    <row r="76" spans="1:6" x14ac:dyDescent="0.25">
      <c r="A76">
        <v>73</v>
      </c>
      <c r="B76" s="148" t="s">
        <v>763</v>
      </c>
      <c r="D76" t="e">
        <f>IF(C77="N",C75,C76)</f>
        <v>#N/A</v>
      </c>
    </row>
    <row r="77" spans="1:6" x14ac:dyDescent="0.25">
      <c r="A77">
        <v>74</v>
      </c>
      <c r="B77" s="148" t="s">
        <v>764</v>
      </c>
      <c r="C77" t="s">
        <v>687</v>
      </c>
      <c r="D77" t="e">
        <f>IF(C78="N",C76,C77)</f>
        <v>#N/A</v>
      </c>
    </row>
    <row r="78" spans="1:6" x14ac:dyDescent="0.25">
      <c r="A78">
        <v>75</v>
      </c>
      <c r="B78" t="s">
        <v>236</v>
      </c>
      <c r="C78" t="e">
        <f>FamilyToBus</f>
        <v>#N/A</v>
      </c>
      <c r="D78" t="e">
        <f>+C78</f>
        <v>#N/A</v>
      </c>
      <c r="F78">
        <v>44</v>
      </c>
    </row>
    <row r="79" spans="1:6" x14ac:dyDescent="0.25">
      <c r="A79">
        <v>76</v>
      </c>
      <c r="B79" s="148" t="s">
        <v>765</v>
      </c>
      <c r="D79" t="e">
        <f>IF(C80="N",C78,C79)</f>
        <v>#N/A</v>
      </c>
    </row>
    <row r="80" spans="1:6" x14ac:dyDescent="0.25">
      <c r="A80">
        <v>77</v>
      </c>
      <c r="B80" s="148" t="s">
        <v>766</v>
      </c>
      <c r="C80" t="s">
        <v>687</v>
      </c>
      <c r="D80" t="e">
        <f>IF(C81="N",C79,C80)</f>
        <v>#N/A</v>
      </c>
    </row>
    <row r="81" spans="1:6" x14ac:dyDescent="0.25">
      <c r="A81">
        <v>78</v>
      </c>
      <c r="B81" t="s">
        <v>767</v>
      </c>
      <c r="C81" t="e">
        <f>TransCap90</f>
        <v>#N/A</v>
      </c>
      <c r="D81" t="e">
        <f>+C81</f>
        <v>#N/A</v>
      </c>
      <c r="F81">
        <v>45</v>
      </c>
    </row>
    <row r="82" spans="1:6" x14ac:dyDescent="0.25">
      <c r="A82">
        <v>79</v>
      </c>
      <c r="B82" s="92" t="s">
        <v>790</v>
      </c>
      <c r="C82" s="92" t="e">
        <f>Baselinewsu</f>
        <v>#N/A</v>
      </c>
      <c r="D82" t="e">
        <f>+C82</f>
        <v>#N/A</v>
      </c>
      <c r="F82">
        <v>11</v>
      </c>
    </row>
    <row r="83" spans="1:6" x14ac:dyDescent="0.25">
      <c r="A83">
        <v>80</v>
      </c>
      <c r="B83" s="148" t="s">
        <v>771</v>
      </c>
      <c r="C83" s="92"/>
      <c r="D83">
        <f>+C83</f>
        <v>0</v>
      </c>
    </row>
    <row r="84" spans="1:6" x14ac:dyDescent="0.25">
      <c r="A84">
        <v>81</v>
      </c>
      <c r="B84" s="148" t="s">
        <v>791</v>
      </c>
      <c r="C84">
        <v>0</v>
      </c>
      <c r="D84">
        <f>+C84</f>
        <v>0</v>
      </c>
    </row>
    <row r="85" spans="1:6" x14ac:dyDescent="0.25">
      <c r="A85">
        <v>82</v>
      </c>
      <c r="B85" s="148" t="s">
        <v>792</v>
      </c>
      <c r="D85">
        <f>IF(C86="N",C84,C85)</f>
        <v>0</v>
      </c>
    </row>
    <row r="86" spans="1:6" x14ac:dyDescent="0.25">
      <c r="A86">
        <v>83</v>
      </c>
      <c r="B86" s="148" t="s">
        <v>793</v>
      </c>
      <c r="C86" t="s">
        <v>687</v>
      </c>
      <c r="D86" t="str">
        <f>IF(C87="N",C85,C86)</f>
        <v>N</v>
      </c>
    </row>
    <row r="87" spans="1:6" x14ac:dyDescent="0.25">
      <c r="A87">
        <v>84</v>
      </c>
      <c r="B87" t="s">
        <v>794</v>
      </c>
      <c r="C87">
        <v>0</v>
      </c>
      <c r="D87">
        <f>+C87</f>
        <v>0</v>
      </c>
    </row>
    <row r="88" spans="1:6" x14ac:dyDescent="0.25">
      <c r="A88">
        <v>85</v>
      </c>
      <c r="B88" s="148" t="s">
        <v>795</v>
      </c>
      <c r="D88">
        <f>IF(C89="N",C87,C88)</f>
        <v>0</v>
      </c>
    </row>
    <row r="89" spans="1:6" x14ac:dyDescent="0.25">
      <c r="A89">
        <v>86</v>
      </c>
      <c r="B89" s="148" t="s">
        <v>796</v>
      </c>
      <c r="C89" t="s">
        <v>687</v>
      </c>
      <c r="D89" t="e">
        <f>IF(C90="N",C88,C89)</f>
        <v>#N/A</v>
      </c>
    </row>
    <row r="90" spans="1:6" x14ac:dyDescent="0.25">
      <c r="A90">
        <v>87</v>
      </c>
      <c r="B90" s="149" t="s">
        <v>873</v>
      </c>
      <c r="C90" s="109" t="e">
        <f>ELLLevel1</f>
        <v>#N/A</v>
      </c>
      <c r="D90" s="109" t="e">
        <f>+C90</f>
        <v>#N/A</v>
      </c>
      <c r="E90" s="109"/>
      <c r="F90">
        <v>29</v>
      </c>
    </row>
    <row r="91" spans="1:6" x14ac:dyDescent="0.25">
      <c r="A91">
        <v>88</v>
      </c>
      <c r="B91" s="148" t="s">
        <v>874</v>
      </c>
      <c r="C91" s="109"/>
      <c r="D91" s="109" t="e">
        <f>IF(C92="N",C90,C91)</f>
        <v>#N/A</v>
      </c>
      <c r="E91" s="109"/>
    </row>
    <row r="92" spans="1:6" x14ac:dyDescent="0.25">
      <c r="A92">
        <v>89</v>
      </c>
      <c r="B92" s="148" t="s">
        <v>875</v>
      </c>
      <c r="C92" s="109" t="s">
        <v>687</v>
      </c>
      <c r="D92" s="109" t="e">
        <f>IF(C93="N",C91,C92)</f>
        <v>#N/A</v>
      </c>
      <c r="E92" s="109"/>
    </row>
    <row r="93" spans="1:6" x14ac:dyDescent="0.25">
      <c r="A93">
        <v>90</v>
      </c>
      <c r="B93" s="149" t="s">
        <v>876</v>
      </c>
      <c r="C93" s="109" t="e">
        <f>ELLLevel2</f>
        <v>#N/A</v>
      </c>
      <c r="D93" s="109" t="e">
        <f>+C93</f>
        <v>#N/A</v>
      </c>
      <c r="E93" s="109"/>
      <c r="F93">
        <v>30</v>
      </c>
    </row>
    <row r="94" spans="1:6" x14ac:dyDescent="0.25">
      <c r="A94">
        <v>91</v>
      </c>
      <c r="B94" s="148" t="s">
        <v>877</v>
      </c>
      <c r="C94" s="109"/>
      <c r="D94" s="109" t="e">
        <f>IF(C95="N",C93,C94)</f>
        <v>#N/A</v>
      </c>
      <c r="E94" s="109"/>
    </row>
    <row r="95" spans="1:6" x14ac:dyDescent="0.25">
      <c r="A95">
        <v>92</v>
      </c>
      <c r="B95" s="148" t="s">
        <v>878</v>
      </c>
      <c r="C95" s="109" t="s">
        <v>687</v>
      </c>
      <c r="D95" s="109" t="e">
        <f>IF(C96="N",C94,C95)</f>
        <v>#N/A</v>
      </c>
      <c r="E95" s="109"/>
    </row>
    <row r="96" spans="1:6" x14ac:dyDescent="0.25">
      <c r="A96">
        <v>93</v>
      </c>
      <c r="B96" s="149" t="s">
        <v>879</v>
      </c>
      <c r="C96" s="109" t="e">
        <f>ELLLevel3</f>
        <v>#N/A</v>
      </c>
      <c r="D96" s="109" t="e">
        <f>+C96</f>
        <v>#N/A</v>
      </c>
      <c r="E96" s="109"/>
      <c r="F96">
        <v>31</v>
      </c>
    </row>
    <row r="97" spans="1:6" x14ac:dyDescent="0.25">
      <c r="A97">
        <v>94</v>
      </c>
      <c r="B97" s="148" t="s">
        <v>880</v>
      </c>
      <c r="C97" s="109"/>
      <c r="D97" s="109" t="e">
        <f>IF(C98="N",C96,C97)</f>
        <v>#N/A</v>
      </c>
      <c r="E97" s="109"/>
    </row>
    <row r="98" spans="1:6" x14ac:dyDescent="0.25">
      <c r="A98">
        <v>95</v>
      </c>
      <c r="B98" s="148" t="s">
        <v>881</v>
      </c>
      <c r="C98" s="109" t="s">
        <v>687</v>
      </c>
      <c r="D98" s="109" t="e">
        <f>IF(C99="N",C97,C98)</f>
        <v>#N/A</v>
      </c>
      <c r="E98" s="109"/>
    </row>
    <row r="99" spans="1:6" x14ac:dyDescent="0.25">
      <c r="A99">
        <v>96</v>
      </c>
      <c r="B99" s="149" t="s">
        <v>869</v>
      </c>
      <c r="C99" s="109" t="e">
        <f>NSLPPercent</f>
        <v>#N/A</v>
      </c>
      <c r="D99" s="109" t="e">
        <f>+C99</f>
        <v>#N/A</v>
      </c>
      <c r="E99" s="109"/>
      <c r="F99">
        <v>32</v>
      </c>
    </row>
    <row r="100" spans="1:6" x14ac:dyDescent="0.25">
      <c r="A100">
        <v>97</v>
      </c>
      <c r="B100" s="148" t="s">
        <v>870</v>
      </c>
      <c r="C100" s="109"/>
      <c r="D100" s="109" t="e">
        <f>IF(C101="N",C99,C100)</f>
        <v>#N/A</v>
      </c>
      <c r="E100" s="109"/>
    </row>
    <row r="101" spans="1:6" x14ac:dyDescent="0.25">
      <c r="A101">
        <v>98</v>
      </c>
      <c r="B101" s="148" t="s">
        <v>872</v>
      </c>
      <c r="C101" s="109" t="s">
        <v>687</v>
      </c>
      <c r="D101" s="109" t="e">
        <f>IF(C102="N",C100,C101)</f>
        <v>#N/A</v>
      </c>
      <c r="E101" s="109"/>
    </row>
    <row r="102" spans="1:6" x14ac:dyDescent="0.25">
      <c r="A102">
        <v>99</v>
      </c>
      <c r="B102" s="149" t="s">
        <v>821</v>
      </c>
      <c r="C102" s="109" t="e">
        <f>USFlood</f>
        <v>#N/A</v>
      </c>
      <c r="D102" s="109" t="e">
        <f t="shared" ref="D102:D112" si="1">+C102</f>
        <v>#N/A</v>
      </c>
      <c r="E102" s="109"/>
      <c r="F102">
        <v>19</v>
      </c>
    </row>
    <row r="103" spans="1:6" x14ac:dyDescent="0.25">
      <c r="A103">
        <v>100</v>
      </c>
      <c r="B103" s="149" t="s">
        <v>822</v>
      </c>
      <c r="C103" t="e">
        <f>RECGrossReceipts</f>
        <v>#N/A</v>
      </c>
      <c r="D103" s="109" t="e">
        <f t="shared" si="1"/>
        <v>#N/A</v>
      </c>
      <c r="E103" s="109"/>
      <c r="F103">
        <v>20</v>
      </c>
    </row>
    <row r="104" spans="1:6" x14ac:dyDescent="0.25">
      <c r="A104">
        <v>101</v>
      </c>
      <c r="B104" s="149" t="s">
        <v>871</v>
      </c>
      <c r="C104" t="e">
        <f>MobileHome</f>
        <v>#N/A</v>
      </c>
      <c r="D104" t="e">
        <f t="shared" si="1"/>
        <v>#N/A</v>
      </c>
      <c r="F104">
        <v>21</v>
      </c>
    </row>
    <row r="105" spans="1:6" x14ac:dyDescent="0.25">
      <c r="A105">
        <v>102</v>
      </c>
      <c r="B105" s="149" t="s">
        <v>823</v>
      </c>
      <c r="C105" t="e">
        <f>Telecomm</f>
        <v>#N/A</v>
      </c>
      <c r="D105" t="e">
        <f t="shared" si="1"/>
        <v>#N/A</v>
      </c>
      <c r="F105">
        <v>22</v>
      </c>
    </row>
    <row r="106" spans="1:6" x14ac:dyDescent="0.25">
      <c r="A106">
        <v>103</v>
      </c>
      <c r="B106" s="148" t="s">
        <v>926</v>
      </c>
      <c r="D106" t="s">
        <v>687</v>
      </c>
    </row>
    <row r="107" spans="1:6" x14ac:dyDescent="0.25">
      <c r="A107" s="252">
        <v>104</v>
      </c>
      <c r="B107" s="253" t="s">
        <v>931</v>
      </c>
      <c r="C107" s="252" t="e">
        <f>SqMiles</f>
        <v>#N/A</v>
      </c>
      <c r="D107" s="252" t="e">
        <f t="shared" si="1"/>
        <v>#N/A</v>
      </c>
      <c r="E107" s="252"/>
      <c r="F107" s="252"/>
    </row>
    <row r="108" spans="1:6" x14ac:dyDescent="0.25">
      <c r="A108" s="144">
        <v>105</v>
      </c>
      <c r="B108" s="144" t="s">
        <v>970</v>
      </c>
      <c r="C108" t="e">
        <f>AltMiddleSchool</f>
        <v>#N/A</v>
      </c>
      <c r="D108" t="e">
        <f t="shared" si="1"/>
        <v>#N/A</v>
      </c>
      <c r="F108">
        <v>34</v>
      </c>
    </row>
    <row r="109" spans="1:6" x14ac:dyDescent="0.25">
      <c r="A109" s="144">
        <v>106</v>
      </c>
      <c r="B109" s="144" t="s">
        <v>1011</v>
      </c>
      <c r="C109" t="e">
        <f>PYPropertyTaxContribution</f>
        <v>#N/A</v>
      </c>
      <c r="D109" t="e">
        <f t="shared" si="1"/>
        <v>#N/A</v>
      </c>
      <c r="F109">
        <v>46</v>
      </c>
    </row>
    <row r="110" spans="1:6" x14ac:dyDescent="0.25">
      <c r="A110">
        <v>107</v>
      </c>
      <c r="B110" s="149" t="s">
        <v>1119</v>
      </c>
      <c r="C110" t="e">
        <f>SIMills</f>
        <v>#N/A</v>
      </c>
      <c r="D110" t="e">
        <f t="shared" si="1"/>
        <v>#N/A</v>
      </c>
      <c r="F110">
        <v>15</v>
      </c>
    </row>
    <row r="111" spans="1:6" x14ac:dyDescent="0.25">
      <c r="A111">
        <v>108</v>
      </c>
      <c r="B111" s="149" t="s">
        <v>1115</v>
      </c>
      <c r="C111" t="e">
        <f>TotalMills</f>
        <v>#N/A</v>
      </c>
      <c r="D111" t="e">
        <f t="shared" si="1"/>
        <v>#N/A</v>
      </c>
      <c r="F111">
        <v>16</v>
      </c>
    </row>
    <row r="112" spans="1:6" x14ac:dyDescent="0.25">
      <c r="A112">
        <v>109</v>
      </c>
      <c r="B112" t="s">
        <v>1109</v>
      </c>
      <c r="C112" t="e">
        <f>OnTime</f>
        <v>#N/A</v>
      </c>
      <c r="D112" t="e">
        <f t="shared" si="1"/>
        <v>#N/A</v>
      </c>
    </row>
    <row r="113" spans="1:4" x14ac:dyDescent="0.25">
      <c r="A113">
        <v>110</v>
      </c>
      <c r="B113" t="s">
        <v>1110</v>
      </c>
      <c r="D113" s="109" t="e">
        <f>IF(C114="N",C112,C113)</f>
        <v>#N/A</v>
      </c>
    </row>
    <row r="114" spans="1:4" x14ac:dyDescent="0.25">
      <c r="A114">
        <v>111</v>
      </c>
      <c r="B114" t="s">
        <v>1111</v>
      </c>
      <c r="C114" s="109" t="s">
        <v>687</v>
      </c>
      <c r="D114" s="109" t="s">
        <v>687</v>
      </c>
    </row>
    <row r="115" spans="1:4" x14ac:dyDescent="0.25">
      <c r="A115">
        <v>112</v>
      </c>
      <c r="B115" t="s">
        <v>1112</v>
      </c>
      <c r="C115" t="e">
        <f>WSUAdj</f>
        <v>#N/A</v>
      </c>
      <c r="D115" t="e">
        <f t="shared" ref="D115" si="2">+C115</f>
        <v>#N/A</v>
      </c>
    </row>
    <row r="116" spans="1:4" x14ac:dyDescent="0.25">
      <c r="A116">
        <v>113</v>
      </c>
      <c r="B116" t="s">
        <v>1113</v>
      </c>
      <c r="D116" s="109" t="e">
        <f>IF(C117="N",C115,C116)</f>
        <v>#N/A</v>
      </c>
    </row>
    <row r="117" spans="1:4" x14ac:dyDescent="0.25">
      <c r="A117">
        <v>114</v>
      </c>
      <c r="B117" t="s">
        <v>1114</v>
      </c>
      <c r="C117" s="109" t="s">
        <v>687</v>
      </c>
      <c r="D117" s="109" t="s">
        <v>687</v>
      </c>
    </row>
    <row r="118" spans="1:4" x14ac:dyDescent="0.25">
      <c r="A118">
        <v>115</v>
      </c>
      <c r="B118" t="s">
        <v>1117</v>
      </c>
      <c r="C118" t="e">
        <f>TaxAdj</f>
        <v>#N/A</v>
      </c>
      <c r="D118" t="e">
        <f t="shared" ref="D118:D127" si="3">+C118</f>
        <v>#N/A</v>
      </c>
    </row>
    <row r="119" spans="1:4" x14ac:dyDescent="0.25">
      <c r="A119">
        <v>116</v>
      </c>
      <c r="B119" t="s">
        <v>1140</v>
      </c>
      <c r="C119" t="e">
        <f>VirADM</f>
        <v>#N/A</v>
      </c>
      <c r="D119" t="e">
        <f t="shared" si="3"/>
        <v>#N/A</v>
      </c>
    </row>
    <row r="120" spans="1:4" x14ac:dyDescent="0.25">
      <c r="A120">
        <v>117</v>
      </c>
      <c r="B120" t="s">
        <v>1149</v>
      </c>
      <c r="C120" t="e">
        <f>LYOnTime</f>
        <v>#N/A</v>
      </c>
      <c r="D120" t="e">
        <f t="shared" si="3"/>
        <v>#N/A</v>
      </c>
    </row>
    <row r="121" spans="1:4" x14ac:dyDescent="0.25">
      <c r="A121">
        <v>118</v>
      </c>
      <c r="B121" t="s">
        <v>1150</v>
      </c>
      <c r="C121" t="e">
        <f>FallEnroll</f>
        <v>#N/A</v>
      </c>
      <c r="D121" t="e">
        <f t="shared" si="3"/>
        <v>#N/A</v>
      </c>
    </row>
    <row r="122" spans="1:4" x14ac:dyDescent="0.25">
      <c r="A122">
        <v>119</v>
      </c>
      <c r="B122" t="s">
        <v>1151</v>
      </c>
      <c r="C122" t="e">
        <f>LYFallEnroll</f>
        <v>#N/A</v>
      </c>
      <c r="D122" t="e">
        <f t="shared" si="3"/>
        <v>#N/A</v>
      </c>
    </row>
    <row r="123" spans="1:4" x14ac:dyDescent="0.25">
      <c r="A123">
        <v>120</v>
      </c>
      <c r="B123" s="149" t="s">
        <v>1166</v>
      </c>
      <c r="C123" t="e">
        <f>SmMiles</f>
        <v>#N/A</v>
      </c>
      <c r="D123" t="e">
        <f t="shared" si="3"/>
        <v>#N/A</v>
      </c>
    </row>
    <row r="124" spans="1:4" x14ac:dyDescent="0.25">
      <c r="A124">
        <v>121</v>
      </c>
      <c r="B124" s="149" t="s">
        <v>1165</v>
      </c>
      <c r="C124" t="e">
        <f>LgMiles</f>
        <v>#N/A</v>
      </c>
      <c r="D124" t="e">
        <f t="shared" si="3"/>
        <v>#N/A</v>
      </c>
    </row>
    <row r="125" spans="1:4" x14ac:dyDescent="0.25">
      <c r="A125">
        <v>122</v>
      </c>
      <c r="B125" s="149" t="s">
        <v>1162</v>
      </c>
      <c r="C125" t="e">
        <f>SmRuns</f>
        <v>#N/A</v>
      </c>
      <c r="D125" t="e">
        <f t="shared" si="3"/>
        <v>#N/A</v>
      </c>
    </row>
    <row r="126" spans="1:4" x14ac:dyDescent="0.25">
      <c r="A126">
        <v>123</v>
      </c>
      <c r="B126" s="149" t="s">
        <v>1167</v>
      </c>
      <c r="C126" t="e">
        <f>LgRuns</f>
        <v>#N/A</v>
      </c>
      <c r="D126" t="e">
        <f t="shared" si="3"/>
        <v>#N/A</v>
      </c>
    </row>
    <row r="127" spans="1:4" x14ac:dyDescent="0.25">
      <c r="A127">
        <v>124</v>
      </c>
      <c r="B127" s="149" t="s">
        <v>1168</v>
      </c>
      <c r="C127" t="e">
        <f>K12Buildings</f>
        <v>#N/A</v>
      </c>
      <c r="D127" t="e">
        <f t="shared" si="3"/>
        <v>#N/A</v>
      </c>
    </row>
  </sheetData>
  <phoneticPr fontId="0" type="noConversion"/>
  <printOptions gridLines="1"/>
  <pageMargins left="0.75" right="0.75" top="1" bottom="1" header="0.5" footer="0.5"/>
  <pageSetup orientation="portrait" r:id="rId1"/>
  <headerFooter alignWithMargins="0">
    <oddFooter>&amp;L&amp;8Department of Public Instruction&amp;C&amp;8&amp;P/&amp;8&amp;N&amp;R&amp;8&amp;F &amp;8&amp;D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I45"/>
  <sheetViews>
    <sheetView workbookViewId="0">
      <pane xSplit="2" ySplit="1" topLeftCell="C2" activePane="bottomRight" state="frozen"/>
      <selection activeCell="G4" sqref="G4"/>
      <selection pane="topRight" activeCell="G4" sqref="G4"/>
      <selection pane="bottomLeft" activeCell="G4" sqref="G4"/>
      <selection pane="bottomRight" activeCell="G4" sqref="G4"/>
    </sheetView>
  </sheetViews>
  <sheetFormatPr defaultColWidth="9.109375" defaultRowHeight="10.199999999999999" x14ac:dyDescent="0.2"/>
  <cols>
    <col min="1" max="1" width="27.6640625" style="9" bestFit="1" customWidth="1"/>
    <col min="2" max="2" width="5.5546875" style="9" customWidth="1"/>
    <col min="3" max="3" width="11.44140625" style="9" customWidth="1"/>
    <col min="4" max="4" width="10.88671875" style="9" customWidth="1"/>
    <col min="5" max="5" width="11.44140625" style="9" customWidth="1"/>
    <col min="6" max="6" width="15" style="9" customWidth="1"/>
    <col min="7" max="7" width="15.33203125" style="9" bestFit="1" customWidth="1"/>
    <col min="8" max="8" width="11.88671875" style="9" customWidth="1"/>
    <col min="9" max="9" width="10.33203125" style="9" customWidth="1"/>
    <col min="10" max="16384" width="9.109375" style="9"/>
  </cols>
  <sheetData>
    <row r="1" spans="1:9" s="6" customFormat="1" ht="30.6" x14ac:dyDescent="0.2">
      <c r="B1" s="63" t="s">
        <v>290</v>
      </c>
      <c r="C1" s="6" t="s">
        <v>780</v>
      </c>
      <c r="D1" s="6" t="s">
        <v>689</v>
      </c>
      <c r="E1" s="6" t="s">
        <v>770</v>
      </c>
      <c r="F1" s="6" t="s">
        <v>490</v>
      </c>
      <c r="G1" s="6" t="s">
        <v>694</v>
      </c>
      <c r="H1" s="6" t="s">
        <v>695</v>
      </c>
      <c r="I1" s="6" t="s">
        <v>797</v>
      </c>
    </row>
    <row r="2" spans="1:9" x14ac:dyDescent="0.2">
      <c r="A2" s="9" t="s">
        <v>250</v>
      </c>
      <c r="B2" s="9">
        <v>5</v>
      </c>
      <c r="C2" s="9" t="str">
        <f t="shared" ref="C2:I2" si="0">"20100"</f>
        <v>20100</v>
      </c>
      <c r="D2" s="9" t="str">
        <f t="shared" si="0"/>
        <v>20100</v>
      </c>
      <c r="E2" s="9" t="str">
        <f t="shared" si="0"/>
        <v>20100</v>
      </c>
      <c r="F2" s="9" t="str">
        <f t="shared" si="0"/>
        <v>20100</v>
      </c>
      <c r="G2" s="9" t="str">
        <f t="shared" si="0"/>
        <v>20100</v>
      </c>
      <c r="H2" s="9" t="str">
        <f t="shared" si="0"/>
        <v>20100</v>
      </c>
      <c r="I2" s="9" t="str">
        <f t="shared" si="0"/>
        <v>20100</v>
      </c>
    </row>
    <row r="3" spans="1:9" x14ac:dyDescent="0.2">
      <c r="A3" s="9" t="s">
        <v>251</v>
      </c>
      <c r="B3" s="9">
        <v>3</v>
      </c>
      <c r="C3" s="9" t="s">
        <v>284</v>
      </c>
      <c r="D3" s="9" t="s">
        <v>284</v>
      </c>
      <c r="E3" s="9" t="s">
        <v>284</v>
      </c>
      <c r="F3" s="9" t="s">
        <v>284</v>
      </c>
      <c r="G3" s="9" t="s">
        <v>284</v>
      </c>
      <c r="H3" s="9" t="s">
        <v>284</v>
      </c>
      <c r="I3" s="9" t="s">
        <v>284</v>
      </c>
    </row>
    <row r="4" spans="1:9" x14ac:dyDescent="0.2">
      <c r="A4" s="9" t="s">
        <v>252</v>
      </c>
      <c r="B4" s="9">
        <v>10</v>
      </c>
      <c r="C4" s="9" t="str">
        <f t="shared" ref="C4:I5" si="1">PmtMonth&amp;"/"&amp;"01/"&amp;IF(VALUE(PmtMonth)&lt;7,SchoolYear,SchoolYear-1)</f>
        <v>08/01/2026</v>
      </c>
      <c r="D4" s="9" t="str">
        <f t="shared" si="1"/>
        <v>08/01/2026</v>
      </c>
      <c r="E4" s="9" t="str">
        <f t="shared" si="1"/>
        <v>08/01/2026</v>
      </c>
      <c r="F4" s="9" t="str">
        <f t="shared" si="1"/>
        <v>08/01/2026</v>
      </c>
      <c r="G4" s="9" t="str">
        <f t="shared" si="1"/>
        <v>08/01/2026</v>
      </c>
      <c r="H4" s="9" t="str">
        <f t="shared" si="1"/>
        <v>08/01/2026</v>
      </c>
      <c r="I4" s="9" t="str">
        <f t="shared" si="1"/>
        <v>08/01/2026</v>
      </c>
    </row>
    <row r="5" spans="1:9" x14ac:dyDescent="0.2">
      <c r="A5" s="9" t="s">
        <v>253</v>
      </c>
      <c r="B5" s="9">
        <v>10</v>
      </c>
      <c r="C5" s="9" t="str">
        <f t="shared" si="1"/>
        <v>08/01/2026</v>
      </c>
      <c r="D5" s="9" t="str">
        <f t="shared" si="1"/>
        <v>08/01/2026</v>
      </c>
      <c r="E5" s="9" t="str">
        <f t="shared" si="1"/>
        <v>08/01/2026</v>
      </c>
      <c r="F5" s="9" t="str">
        <f t="shared" si="1"/>
        <v>08/01/2026</v>
      </c>
      <c r="G5" s="9" t="str">
        <f t="shared" si="1"/>
        <v>08/01/2026</v>
      </c>
      <c r="H5" s="9" t="str">
        <f t="shared" si="1"/>
        <v>08/01/2026</v>
      </c>
      <c r="I5" s="9" t="str">
        <f t="shared" si="1"/>
        <v>08/01/2026</v>
      </c>
    </row>
    <row r="6" spans="1:9" x14ac:dyDescent="0.2">
      <c r="A6" s="9" t="s">
        <v>254</v>
      </c>
    </row>
    <row r="7" spans="1:9" x14ac:dyDescent="0.2">
      <c r="A7" s="10" t="s">
        <v>255</v>
      </c>
      <c r="B7" s="9">
        <v>4</v>
      </c>
      <c r="C7" s="64" t="s">
        <v>293</v>
      </c>
      <c r="D7" s="64" t="s">
        <v>293</v>
      </c>
      <c r="E7" s="64" t="s">
        <v>293</v>
      </c>
      <c r="F7" s="64" t="s">
        <v>293</v>
      </c>
      <c r="G7" s="64" t="s">
        <v>293</v>
      </c>
      <c r="H7" s="64" t="s">
        <v>293</v>
      </c>
      <c r="I7" s="64" t="s">
        <v>293</v>
      </c>
    </row>
    <row r="8" spans="1:9" s="67" customFormat="1" x14ac:dyDescent="0.2">
      <c r="A8" s="65" t="s">
        <v>256</v>
      </c>
      <c r="B8" s="66">
        <v>26</v>
      </c>
      <c r="C8" s="66" t="str">
        <f>LEFT(CoDist,2)&amp;RIGHT(CoDist,3)&amp;"01"&amp;REPT(" ",19)</f>
        <v xml:space="preserve">01                   </v>
      </c>
      <c r="D8" s="66" t="str">
        <f>LEFT(CoDist,2)&amp;RIGHT(CoDist,3)&amp;"02"&amp;REPT(" ",19)</f>
        <v xml:space="preserve">02                   </v>
      </c>
      <c r="E8" s="66" t="str">
        <f>LEFT(CoDist,2)&amp;RIGHT(CoDist,3)&amp;"03"&amp;REPT(" ",19)</f>
        <v xml:space="preserve">03                   </v>
      </c>
      <c r="F8" s="66" t="str">
        <f>LEFT(CoDist,2)&amp;RIGHT(CoDist,3)&amp;"05"&amp;REPT(" ",19)</f>
        <v xml:space="preserve">05                   </v>
      </c>
      <c r="G8" s="66" t="str">
        <f>LEFT(CoDist,2)&amp;RIGHT(CoDist,3)&amp;"06"&amp;REPT(" ",19)</f>
        <v xml:space="preserve">06                   </v>
      </c>
      <c r="H8" s="66" t="str">
        <f>LEFT(CoDist,2)&amp;RIGHT(CoDist,3)&amp;"07"&amp;REPT(" ",19)</f>
        <v xml:space="preserve">07                   </v>
      </c>
      <c r="I8" s="66" t="str">
        <f>LEFT(CoDist,2)&amp;RIGHT(CoDist,3)&amp;"08"&amp;REPT(" ",19)</f>
        <v xml:space="preserve">08                   </v>
      </c>
    </row>
    <row r="9" spans="1:9" x14ac:dyDescent="0.2">
      <c r="A9" s="68" t="s">
        <v>281</v>
      </c>
    </row>
    <row r="10" spans="1:9" x14ac:dyDescent="0.2">
      <c r="A10" s="10" t="s">
        <v>282</v>
      </c>
      <c r="B10" s="9">
        <v>16</v>
      </c>
      <c r="C10" s="9" t="e">
        <f ca="1">IF(Payment!$H13&lt;0,REPT(" ",15)&amp;"-",REPT(" ",16))</f>
        <v>#NAME?</v>
      </c>
      <c r="D10" s="9" t="e">
        <f ca="1">IF(Payment!$H14&lt;0,REPT(" ",15)&amp;"-",REPT(" ",16))</f>
        <v>#NAME?</v>
      </c>
      <c r="E10" s="9" t="e">
        <f ca="1">IF(Payment!$H15&lt;0,REPT(" ",15)&amp;"-",REPT(" ",16))</f>
        <v>#NAME?</v>
      </c>
      <c r="F10" s="9" t="e">
        <f ca="1">IF(Payment!$H16&lt;0,REPT(" ",15)&amp;"-",REPT(" ",16))</f>
        <v>#NAME?</v>
      </c>
      <c r="G10" s="9" t="e">
        <f ca="1">IF(Payment!$H17&lt;0,REPT(" ",15)&amp;"-",REPT(" ",16))</f>
        <v>#NAME?</v>
      </c>
      <c r="H10" s="9" t="e">
        <f ca="1">IF(Payment!$H18&lt;0,REPT(" ",15)&amp;"-",REPT(" ",16))</f>
        <v>#NAME?</v>
      </c>
      <c r="I10" s="9" t="e">
        <f ca="1">IF(Payment!$H19&lt;0,REPT(" ",15)&amp;"-",REPT(" ",16))</f>
        <v>#NAME?</v>
      </c>
    </row>
    <row r="11" spans="1:9" s="67" customFormat="1" x14ac:dyDescent="0.2">
      <c r="A11" s="69" t="s">
        <v>283</v>
      </c>
      <c r="B11" s="67">
        <v>12</v>
      </c>
      <c r="C11" s="67" t="e">
        <f ca="1">TEXT(ABS(Payment!$H13),"000000000.00")</f>
        <v>#NAME?</v>
      </c>
      <c r="D11" s="67" t="e">
        <f ca="1">TEXT(ABS(Payment!$H14),"000000000.00")</f>
        <v>#NAME?</v>
      </c>
      <c r="E11" s="67" t="e">
        <f ca="1">TEXT(ABS(Payment!$H15),"000000000.00")</f>
        <v>#NAME?</v>
      </c>
      <c r="F11" s="67" t="e">
        <f ca="1">TEXT(ABS(Payment!$H16),"000000000.00")</f>
        <v>#NAME?</v>
      </c>
      <c r="G11" s="67" t="e">
        <f ca="1">TEXT(ABS(Payment!$H17),"000000000.00")</f>
        <v>#NAME?</v>
      </c>
      <c r="H11" s="67" t="e">
        <f ca="1">TEXT(ABS(Payment!$H18),"000000000.00")</f>
        <v>#NAME?</v>
      </c>
      <c r="I11" s="67" t="e">
        <f ca="1">TEXT(ABS(Payment!$H19),"000000000.00")</f>
        <v>#NAME?</v>
      </c>
    </row>
    <row r="12" spans="1:9" x14ac:dyDescent="0.2">
      <c r="A12" s="9" t="s">
        <v>257</v>
      </c>
      <c r="B12" s="9">
        <v>30</v>
      </c>
      <c r="C12" s="9" t="str">
        <f t="shared" ref="C12:I12" si="2">REPT(" ",30)</f>
        <v xml:space="preserve">                              </v>
      </c>
      <c r="D12" s="9" t="str">
        <f t="shared" si="2"/>
        <v xml:space="preserve">                              </v>
      </c>
      <c r="E12" s="9" t="str">
        <f t="shared" si="2"/>
        <v xml:space="preserve">                              </v>
      </c>
      <c r="F12" s="9" t="str">
        <f t="shared" si="2"/>
        <v xml:space="preserve">                              </v>
      </c>
      <c r="G12" s="9" t="str">
        <f t="shared" si="2"/>
        <v xml:space="preserve">                              </v>
      </c>
      <c r="H12" s="9" t="str">
        <f t="shared" si="2"/>
        <v xml:space="preserve">                              </v>
      </c>
      <c r="I12" s="9" t="str">
        <f t="shared" si="2"/>
        <v xml:space="preserve">                              </v>
      </c>
    </row>
    <row r="13" spans="1:9" s="67" customFormat="1" x14ac:dyDescent="0.2">
      <c r="A13" s="67" t="s">
        <v>258</v>
      </c>
      <c r="B13" s="67">
        <v>5</v>
      </c>
      <c r="C13" s="67" t="str">
        <f t="shared" ref="C13:I13" si="3">"001"&amp;REPT(" ",2)</f>
        <v xml:space="preserve">001  </v>
      </c>
      <c r="D13" s="67" t="str">
        <f t="shared" si="3"/>
        <v xml:space="preserve">001  </v>
      </c>
      <c r="E13" s="67" t="str">
        <f t="shared" si="3"/>
        <v xml:space="preserve">001  </v>
      </c>
      <c r="F13" s="67" t="str">
        <f t="shared" si="3"/>
        <v xml:space="preserve">001  </v>
      </c>
      <c r="G13" s="67" t="str">
        <f t="shared" si="3"/>
        <v xml:space="preserve">001  </v>
      </c>
      <c r="H13" s="67" t="str">
        <f t="shared" si="3"/>
        <v xml:space="preserve">001  </v>
      </c>
      <c r="I13" s="67" t="str">
        <f t="shared" si="3"/>
        <v xml:space="preserve">001  </v>
      </c>
    </row>
    <row r="14" spans="1:9" s="67" customFormat="1" x14ac:dyDescent="0.2">
      <c r="A14" s="67" t="s">
        <v>259</v>
      </c>
      <c r="B14" s="67">
        <v>10</v>
      </c>
      <c r="C14" s="67" t="str">
        <f t="shared" ref="C14:I14" si="4">IF(MID(CoDist,4,1)&lt;&gt;"7","712075","712100")&amp;"    "</f>
        <v xml:space="preserve">712075    </v>
      </c>
      <c r="D14" s="67" t="str">
        <f t="shared" si="4"/>
        <v xml:space="preserve">712075    </v>
      </c>
      <c r="E14" s="67" t="str">
        <f t="shared" si="4"/>
        <v xml:space="preserve">712075    </v>
      </c>
      <c r="F14" s="67" t="str">
        <f t="shared" si="4"/>
        <v xml:space="preserve">712075    </v>
      </c>
      <c r="G14" s="67" t="str">
        <f t="shared" si="4"/>
        <v xml:space="preserve">712075    </v>
      </c>
      <c r="H14" s="67" t="str">
        <f t="shared" si="4"/>
        <v xml:space="preserve">712075    </v>
      </c>
      <c r="I14" s="67" t="str">
        <f t="shared" si="4"/>
        <v xml:space="preserve">712075    </v>
      </c>
    </row>
    <row r="15" spans="1:9" s="67" customFormat="1" x14ac:dyDescent="0.2">
      <c r="A15" s="67" t="s">
        <v>260</v>
      </c>
      <c r="B15" s="67">
        <v>10</v>
      </c>
      <c r="C15" s="67" t="str">
        <f>"1050"&amp;REPT(" ",6)</f>
        <v xml:space="preserve">1050      </v>
      </c>
      <c r="D15" s="67" t="str">
        <f t="shared" ref="D15:I15" si="5">"1050"&amp;REPT(" ",6)</f>
        <v xml:space="preserve">1050      </v>
      </c>
      <c r="E15" s="67" t="str">
        <f t="shared" si="5"/>
        <v xml:space="preserve">1050      </v>
      </c>
      <c r="F15" s="67" t="str">
        <f t="shared" si="5"/>
        <v xml:space="preserve">1050      </v>
      </c>
      <c r="G15" s="67" t="str">
        <f t="shared" si="5"/>
        <v xml:space="preserve">1050      </v>
      </c>
      <c r="H15" s="67" t="str">
        <f t="shared" si="5"/>
        <v xml:space="preserve">1050      </v>
      </c>
      <c r="I15" s="67" t="str">
        <f t="shared" si="5"/>
        <v xml:space="preserve">1050      </v>
      </c>
    </row>
    <row r="16" spans="1:9" x14ac:dyDescent="0.2">
      <c r="A16" s="9" t="s">
        <v>261</v>
      </c>
      <c r="B16" s="9">
        <v>8</v>
      </c>
      <c r="C16" s="9" t="str">
        <f t="shared" ref="C16:I16" si="6">"201"&amp;REPT(" ",5)</f>
        <v xml:space="preserve">201     </v>
      </c>
      <c r="D16" s="9" t="str">
        <f t="shared" si="6"/>
        <v xml:space="preserve">201     </v>
      </c>
      <c r="E16" s="9" t="str">
        <f t="shared" si="6"/>
        <v xml:space="preserve">201     </v>
      </c>
      <c r="F16" s="9" t="str">
        <f t="shared" si="6"/>
        <v xml:space="preserve">201     </v>
      </c>
      <c r="G16" s="9" t="str">
        <f t="shared" si="6"/>
        <v xml:space="preserve">201     </v>
      </c>
      <c r="H16" s="9" t="str">
        <f t="shared" si="6"/>
        <v xml:space="preserve">201     </v>
      </c>
      <c r="I16" s="9" t="str">
        <f t="shared" si="6"/>
        <v xml:space="preserve">201     </v>
      </c>
    </row>
    <row r="17" spans="1:9" s="67" customFormat="1" x14ac:dyDescent="0.2">
      <c r="A17" s="67" t="s">
        <v>262</v>
      </c>
      <c r="B17" s="67">
        <v>5</v>
      </c>
      <c r="C17" s="71" t="s">
        <v>285</v>
      </c>
      <c r="D17" s="71" t="s">
        <v>291</v>
      </c>
      <c r="E17" s="71" t="s">
        <v>285</v>
      </c>
      <c r="F17" s="71" t="s">
        <v>292</v>
      </c>
      <c r="G17" s="71" t="s">
        <v>292</v>
      </c>
      <c r="H17" s="71" t="s">
        <v>292</v>
      </c>
      <c r="I17" s="71" t="s">
        <v>285</v>
      </c>
    </row>
    <row r="18" spans="1:9" s="67" customFormat="1" x14ac:dyDescent="0.2">
      <c r="A18" s="67" t="s">
        <v>263</v>
      </c>
      <c r="B18" s="67">
        <v>15</v>
      </c>
      <c r="C18" s="67" t="str">
        <f>"S0050"&amp;REPT(" ",10)</f>
        <v xml:space="preserve">S0050          </v>
      </c>
      <c r="D18" s="67" t="str">
        <f>"S0051"&amp;REPT(" ",10)</f>
        <v xml:space="preserve">S0051          </v>
      </c>
      <c r="E18" s="67" t="str">
        <f t="shared" ref="E18:I18" si="7">"S0050"&amp;REPT(" ",10)</f>
        <v xml:space="preserve">S0050          </v>
      </c>
      <c r="F18" s="67" t="str">
        <f>"S0057"&amp;REPT(" ",10)</f>
        <v xml:space="preserve">S0057          </v>
      </c>
      <c r="G18" s="67" t="str">
        <f>"S0057"&amp;REPT(" ",10)</f>
        <v xml:space="preserve">S0057          </v>
      </c>
      <c r="H18" s="67" t="str">
        <f>"S0057"&amp;REPT(" ",10)</f>
        <v xml:space="preserve">S0057          </v>
      </c>
      <c r="I18" s="67" t="str">
        <f t="shared" si="7"/>
        <v xml:space="preserve">S0050          </v>
      </c>
    </row>
    <row r="19" spans="1:9" x14ac:dyDescent="0.2">
      <c r="A19" s="67" t="s">
        <v>264</v>
      </c>
      <c r="B19" s="67">
        <v>15</v>
      </c>
      <c r="C19" s="67" t="str">
        <f>"0600"&amp;REPT(" ",11)</f>
        <v xml:space="preserve">0600           </v>
      </c>
      <c r="D19" s="67" t="str">
        <f t="shared" ref="D19:F19" si="8">"0600"&amp;REPT(" ",11)</f>
        <v xml:space="preserve">0600           </v>
      </c>
      <c r="E19" s="67" t="str">
        <f>"0601"&amp;REPT(" ",11)</f>
        <v xml:space="preserve">0601           </v>
      </c>
      <c r="F19" s="67" t="str">
        <f t="shared" si="8"/>
        <v xml:space="preserve">0600           </v>
      </c>
      <c r="G19" s="67" t="str">
        <f>"0601"&amp;REPT(" ",11)</f>
        <v xml:space="preserve">0601           </v>
      </c>
      <c r="H19" s="67" t="str">
        <f>"0602"&amp;REPT(" ",11)</f>
        <v xml:space="preserve">0602           </v>
      </c>
      <c r="I19" s="67" t="str">
        <f>"0602"&amp;REPT(" ",11)</f>
        <v xml:space="preserve">0602           </v>
      </c>
    </row>
    <row r="20" spans="1:9" x14ac:dyDescent="0.2">
      <c r="A20" s="9" t="s">
        <v>265</v>
      </c>
      <c r="B20" s="9">
        <v>5</v>
      </c>
      <c r="C20" s="9" t="str">
        <f t="shared" ref="C20:I20" si="9">IF(MOD(SchoolYear,2)=0,SchoolYear+1,SchoolYear)&amp;" "</f>
        <v xml:space="preserve">2027 </v>
      </c>
      <c r="D20" s="9" t="str">
        <f t="shared" si="9"/>
        <v xml:space="preserve">2027 </v>
      </c>
      <c r="E20" s="9" t="str">
        <f t="shared" si="9"/>
        <v xml:space="preserve">2027 </v>
      </c>
      <c r="F20" s="9" t="str">
        <f t="shared" si="9"/>
        <v xml:space="preserve">2027 </v>
      </c>
      <c r="G20" s="9" t="str">
        <f t="shared" si="9"/>
        <v xml:space="preserve">2027 </v>
      </c>
      <c r="H20" s="9" t="str">
        <f t="shared" si="9"/>
        <v xml:space="preserve">2027 </v>
      </c>
      <c r="I20" s="9" t="str">
        <f t="shared" si="9"/>
        <v xml:space="preserve">2027 </v>
      </c>
    </row>
    <row r="21" spans="1:9" x14ac:dyDescent="0.2">
      <c r="A21" s="9" t="s">
        <v>266</v>
      </c>
      <c r="B21" s="9">
        <v>5</v>
      </c>
      <c r="C21" s="9" t="e">
        <f t="shared" ref="C21:I21" si="10">ResourceCat&amp;" "</f>
        <v>#N/A</v>
      </c>
      <c r="D21" s="9" t="e">
        <f t="shared" si="10"/>
        <v>#N/A</v>
      </c>
      <c r="E21" s="9" t="e">
        <f t="shared" si="10"/>
        <v>#N/A</v>
      </c>
      <c r="F21" s="9" t="e">
        <f t="shared" si="10"/>
        <v>#N/A</v>
      </c>
      <c r="G21" s="9" t="e">
        <f t="shared" si="10"/>
        <v>#N/A</v>
      </c>
      <c r="H21" s="9" t="e">
        <f t="shared" si="10"/>
        <v>#N/A</v>
      </c>
      <c r="I21" s="9" t="e">
        <f t="shared" si="10"/>
        <v>#N/A</v>
      </c>
    </row>
    <row r="22" spans="1:9" x14ac:dyDescent="0.2">
      <c r="A22" s="9" t="s">
        <v>267</v>
      </c>
      <c r="B22" s="9">
        <v>10</v>
      </c>
      <c r="C22" s="9" t="str">
        <f t="shared" ref="C22:I22" si="11">REPT(" ",10)</f>
        <v xml:space="preserve">          </v>
      </c>
      <c r="D22" s="9" t="str">
        <f t="shared" si="11"/>
        <v xml:space="preserve">          </v>
      </c>
      <c r="E22" s="9" t="str">
        <f t="shared" si="11"/>
        <v xml:space="preserve">          </v>
      </c>
      <c r="F22" s="9" t="str">
        <f t="shared" si="11"/>
        <v xml:space="preserve">          </v>
      </c>
      <c r="G22" s="9" t="str">
        <f t="shared" si="11"/>
        <v xml:space="preserve">          </v>
      </c>
      <c r="H22" s="9" t="str">
        <f t="shared" si="11"/>
        <v xml:space="preserve">          </v>
      </c>
      <c r="I22" s="9" t="str">
        <f t="shared" si="11"/>
        <v xml:space="preserve">          </v>
      </c>
    </row>
    <row r="23" spans="1:9" s="67" customFormat="1" x14ac:dyDescent="0.2">
      <c r="A23" s="67" t="s">
        <v>268</v>
      </c>
      <c r="B23" s="67">
        <v>10</v>
      </c>
      <c r="C23" s="70" t="e">
        <f>REPT("0",($B23-LEN(Payment!$C$10)))&amp;Payment!$C$10</f>
        <v>#N/A</v>
      </c>
      <c r="D23" s="70" t="e">
        <f>REPT("0",($B23-LEN(Payment!$C$10)))&amp;Payment!$C$10</f>
        <v>#N/A</v>
      </c>
      <c r="E23" s="70" t="e">
        <f>REPT("0",($B23-LEN(Payment!$C$10)))&amp;Payment!$C$10</f>
        <v>#N/A</v>
      </c>
      <c r="F23" s="70" t="e">
        <f>REPT("0",($B23-LEN(Payment!$C$10)))&amp;Payment!$C$10</f>
        <v>#N/A</v>
      </c>
      <c r="G23" s="70" t="e">
        <f>REPT("0",($B23-LEN(Payment!$C$10)))&amp;Payment!$C$10</f>
        <v>#N/A</v>
      </c>
      <c r="H23" s="70" t="e">
        <f>REPT("0",($B23-LEN(Payment!$C$10)))&amp;Payment!$C$10</f>
        <v>#N/A</v>
      </c>
      <c r="I23" s="70" t="e">
        <f>REPT("0",($B23-LEN(Payment!$C$10)))&amp;Payment!$C$10</f>
        <v>#N/A</v>
      </c>
    </row>
    <row r="24" spans="1:9" x14ac:dyDescent="0.2">
      <c r="A24" s="9" t="s">
        <v>269</v>
      </c>
      <c r="B24" s="9">
        <v>10</v>
      </c>
      <c r="C24" s="9" t="str">
        <f t="shared" ref="C24:I24" si="12">"DPIFA"&amp;REPT(" ",5)</f>
        <v xml:space="preserve">DPIFA     </v>
      </c>
      <c r="D24" s="9" t="str">
        <f t="shared" si="12"/>
        <v xml:space="preserve">DPIFA     </v>
      </c>
      <c r="E24" s="9" t="str">
        <f t="shared" si="12"/>
        <v xml:space="preserve">DPIFA     </v>
      </c>
      <c r="F24" s="9" t="str">
        <f t="shared" si="12"/>
        <v xml:space="preserve">DPIFA     </v>
      </c>
      <c r="G24" s="9" t="str">
        <f t="shared" si="12"/>
        <v xml:space="preserve">DPIFA     </v>
      </c>
      <c r="H24" s="9" t="str">
        <f t="shared" si="12"/>
        <v xml:space="preserve">DPIFA     </v>
      </c>
      <c r="I24" s="9" t="str">
        <f t="shared" si="12"/>
        <v xml:space="preserve">DPIFA     </v>
      </c>
    </row>
    <row r="25" spans="1:9" x14ac:dyDescent="0.2">
      <c r="A25" s="9" t="s">
        <v>270</v>
      </c>
      <c r="B25" s="9">
        <v>40</v>
      </c>
      <c r="C25" s="9" t="str">
        <f t="shared" ref="C25:I25" si="13">REPT(" ",40)</f>
        <v xml:space="preserve">                                        </v>
      </c>
      <c r="D25" s="9" t="str">
        <f t="shared" si="13"/>
        <v xml:space="preserve">                                        </v>
      </c>
      <c r="E25" s="9" t="str">
        <f t="shared" si="13"/>
        <v xml:space="preserve">                                        </v>
      </c>
      <c r="F25" s="9" t="str">
        <f t="shared" si="13"/>
        <v xml:space="preserve">                                        </v>
      </c>
      <c r="G25" s="9" t="str">
        <f t="shared" si="13"/>
        <v xml:space="preserve">                                        </v>
      </c>
      <c r="H25" s="9" t="str">
        <f t="shared" si="13"/>
        <v xml:space="preserve">                                        </v>
      </c>
      <c r="I25" s="9" t="str">
        <f t="shared" si="13"/>
        <v xml:space="preserve">                                        </v>
      </c>
    </row>
    <row r="26" spans="1:9" x14ac:dyDescent="0.2">
      <c r="A26" s="9" t="s">
        <v>271</v>
      </c>
      <c r="B26" s="9">
        <v>55</v>
      </c>
      <c r="C26" s="9" t="str">
        <f>REPT(" ",55)</f>
        <v xml:space="preserve">                                                       </v>
      </c>
      <c r="D26" s="9" t="str">
        <f t="shared" ref="D26:I28" si="14">REPT(" ",55)</f>
        <v xml:space="preserve">                                                       </v>
      </c>
      <c r="E26" s="9" t="str">
        <f t="shared" si="14"/>
        <v xml:space="preserve">                                                       </v>
      </c>
      <c r="F26" s="9" t="str">
        <f t="shared" si="14"/>
        <v xml:space="preserve">                                                       </v>
      </c>
      <c r="G26" s="9" t="str">
        <f t="shared" si="14"/>
        <v xml:space="preserve">                                                       </v>
      </c>
      <c r="H26" s="9" t="str">
        <f t="shared" si="14"/>
        <v xml:space="preserve">                                                       </v>
      </c>
      <c r="I26" s="9" t="str">
        <f t="shared" si="14"/>
        <v xml:space="preserve">                                                       </v>
      </c>
    </row>
    <row r="27" spans="1:9" x14ac:dyDescent="0.2">
      <c r="A27" s="9" t="s">
        <v>272</v>
      </c>
      <c r="B27" s="9">
        <v>55</v>
      </c>
      <c r="C27" s="9" t="str">
        <f>REPT(" ",55)</f>
        <v xml:space="preserve">                                                       </v>
      </c>
      <c r="D27" s="9" t="str">
        <f t="shared" si="14"/>
        <v xml:space="preserve">                                                       </v>
      </c>
      <c r="E27" s="9" t="str">
        <f t="shared" si="14"/>
        <v xml:space="preserve">                                                       </v>
      </c>
      <c r="F27" s="9" t="str">
        <f t="shared" si="14"/>
        <v xml:space="preserve">                                                       </v>
      </c>
      <c r="G27" s="9" t="str">
        <f t="shared" si="14"/>
        <v xml:space="preserve">                                                       </v>
      </c>
      <c r="H27" s="9" t="str">
        <f t="shared" si="14"/>
        <v xml:space="preserve">                                                       </v>
      </c>
      <c r="I27" s="9" t="str">
        <f t="shared" si="14"/>
        <v xml:space="preserve">                                                       </v>
      </c>
    </row>
    <row r="28" spans="1:9" x14ac:dyDescent="0.2">
      <c r="A28" s="9" t="s">
        <v>273</v>
      </c>
      <c r="B28" s="9">
        <v>55</v>
      </c>
      <c r="C28" s="9" t="str">
        <f>REPT(" ",55)</f>
        <v xml:space="preserve">                                                       </v>
      </c>
      <c r="D28" s="9" t="str">
        <f t="shared" si="14"/>
        <v xml:space="preserve">                                                       </v>
      </c>
      <c r="E28" s="9" t="str">
        <f t="shared" si="14"/>
        <v xml:space="preserve">                                                       </v>
      </c>
      <c r="F28" s="9" t="str">
        <f t="shared" si="14"/>
        <v xml:space="preserve">                                                       </v>
      </c>
      <c r="G28" s="9" t="str">
        <f t="shared" si="14"/>
        <v xml:space="preserve">                                                       </v>
      </c>
      <c r="H28" s="9" t="str">
        <f t="shared" si="14"/>
        <v xml:space="preserve">                                                       </v>
      </c>
      <c r="I28" s="9" t="str">
        <f t="shared" si="14"/>
        <v xml:space="preserve">                                                       </v>
      </c>
    </row>
    <row r="29" spans="1:9" x14ac:dyDescent="0.2">
      <c r="A29" s="9" t="s">
        <v>274</v>
      </c>
      <c r="B29" s="9">
        <v>30</v>
      </c>
      <c r="C29" s="9" t="str">
        <f>REPT(" ",30)</f>
        <v xml:space="preserve">                              </v>
      </c>
      <c r="D29" s="9" t="str">
        <f t="shared" ref="D29:I29" si="15">REPT(" ",30)</f>
        <v xml:space="preserve">                              </v>
      </c>
      <c r="E29" s="9" t="str">
        <f t="shared" si="15"/>
        <v xml:space="preserve">                              </v>
      </c>
      <c r="F29" s="9" t="str">
        <f t="shared" si="15"/>
        <v xml:space="preserve">                              </v>
      </c>
      <c r="G29" s="9" t="str">
        <f t="shared" si="15"/>
        <v xml:space="preserve">                              </v>
      </c>
      <c r="H29" s="9" t="str">
        <f t="shared" si="15"/>
        <v xml:space="preserve">                              </v>
      </c>
      <c r="I29" s="9" t="str">
        <f t="shared" si="15"/>
        <v xml:space="preserve">                              </v>
      </c>
    </row>
    <row r="30" spans="1:9" x14ac:dyDescent="0.2">
      <c r="A30" s="9" t="s">
        <v>275</v>
      </c>
      <c r="B30" s="9">
        <v>6</v>
      </c>
      <c r="C30" s="9" t="str">
        <f>REPT(" ",6)</f>
        <v xml:space="preserve">      </v>
      </c>
      <c r="D30" s="9" t="str">
        <f t="shared" ref="D30:I30" si="16">REPT(" ",6)</f>
        <v xml:space="preserve">      </v>
      </c>
      <c r="E30" s="9" t="str">
        <f t="shared" si="16"/>
        <v xml:space="preserve">      </v>
      </c>
      <c r="F30" s="9" t="str">
        <f t="shared" si="16"/>
        <v xml:space="preserve">      </v>
      </c>
      <c r="G30" s="9" t="str">
        <f t="shared" si="16"/>
        <v xml:space="preserve">      </v>
      </c>
      <c r="H30" s="9" t="str">
        <f t="shared" si="16"/>
        <v xml:space="preserve">      </v>
      </c>
      <c r="I30" s="9" t="str">
        <f t="shared" si="16"/>
        <v xml:space="preserve">      </v>
      </c>
    </row>
    <row r="31" spans="1:9" x14ac:dyDescent="0.2">
      <c r="A31" s="9" t="s">
        <v>276</v>
      </c>
      <c r="B31" s="9">
        <v>12</v>
      </c>
      <c r="C31" s="9" t="str">
        <f>REPT(" ",12)</f>
        <v xml:space="preserve">            </v>
      </c>
      <c r="D31" s="9" t="str">
        <f t="shared" ref="D31:I31" si="17">REPT(" ",12)</f>
        <v xml:space="preserve">            </v>
      </c>
      <c r="E31" s="9" t="str">
        <f t="shared" si="17"/>
        <v xml:space="preserve">            </v>
      </c>
      <c r="F31" s="9" t="str">
        <f t="shared" si="17"/>
        <v xml:space="preserve">            </v>
      </c>
      <c r="G31" s="9" t="str">
        <f t="shared" si="17"/>
        <v xml:space="preserve">            </v>
      </c>
      <c r="H31" s="9" t="str">
        <f t="shared" si="17"/>
        <v xml:space="preserve">            </v>
      </c>
      <c r="I31" s="9" t="str">
        <f t="shared" si="17"/>
        <v xml:space="preserve">            </v>
      </c>
    </row>
    <row r="32" spans="1:9" x14ac:dyDescent="0.2">
      <c r="A32" s="9" t="s">
        <v>277</v>
      </c>
      <c r="B32" s="9">
        <v>9</v>
      </c>
      <c r="C32" s="9" t="str">
        <f>REPT(" ",9)</f>
        <v xml:space="preserve">         </v>
      </c>
      <c r="D32" s="9" t="str">
        <f t="shared" ref="D32:I32" si="18">REPT(" ",9)</f>
        <v xml:space="preserve">         </v>
      </c>
      <c r="E32" s="9" t="str">
        <f t="shared" si="18"/>
        <v xml:space="preserve">         </v>
      </c>
      <c r="F32" s="9" t="str">
        <f t="shared" si="18"/>
        <v xml:space="preserve">         </v>
      </c>
      <c r="G32" s="9" t="str">
        <f t="shared" si="18"/>
        <v xml:space="preserve">         </v>
      </c>
      <c r="H32" s="9" t="str">
        <f t="shared" si="18"/>
        <v xml:space="preserve">         </v>
      </c>
      <c r="I32" s="9" t="str">
        <f t="shared" si="18"/>
        <v xml:space="preserve">         </v>
      </c>
    </row>
    <row r="33" spans="1:9" x14ac:dyDescent="0.2">
      <c r="A33" s="9" t="s">
        <v>278</v>
      </c>
      <c r="B33" s="9">
        <v>17</v>
      </c>
      <c r="C33" s="9" t="str">
        <f>REPT(" ",17)</f>
        <v xml:space="preserve">                 </v>
      </c>
      <c r="D33" s="9" t="str">
        <f t="shared" ref="D33:I33" si="19">REPT(" ",17)</f>
        <v xml:space="preserve">                 </v>
      </c>
      <c r="E33" s="9" t="str">
        <f t="shared" si="19"/>
        <v xml:space="preserve">                 </v>
      </c>
      <c r="F33" s="9" t="str">
        <f t="shared" si="19"/>
        <v xml:space="preserve">                 </v>
      </c>
      <c r="G33" s="9" t="str">
        <f t="shared" si="19"/>
        <v xml:space="preserve">                 </v>
      </c>
      <c r="H33" s="9" t="str">
        <f t="shared" si="19"/>
        <v xml:space="preserve">                 </v>
      </c>
      <c r="I33" s="9" t="str">
        <f t="shared" si="19"/>
        <v xml:space="preserve">                 </v>
      </c>
    </row>
    <row r="34" spans="1:9" x14ac:dyDescent="0.2">
      <c r="A34" s="9" t="s">
        <v>279</v>
      </c>
      <c r="B34" s="9">
        <v>70</v>
      </c>
      <c r="C34" s="9" t="str">
        <f>REPT(" ",70)</f>
        <v xml:space="preserve">                                                                      </v>
      </c>
      <c r="D34" s="9" t="str">
        <f t="shared" ref="D34:I34" si="20">REPT(" ",70)</f>
        <v xml:space="preserve">                                                                      </v>
      </c>
      <c r="E34" s="9" t="str">
        <f t="shared" si="20"/>
        <v xml:space="preserve">                                                                      </v>
      </c>
      <c r="F34" s="9" t="str">
        <f t="shared" si="20"/>
        <v xml:space="preserve">                                                                      </v>
      </c>
      <c r="G34" s="9" t="str">
        <f t="shared" si="20"/>
        <v xml:space="preserve">                                                                      </v>
      </c>
      <c r="H34" s="9" t="str">
        <f t="shared" si="20"/>
        <v xml:space="preserve">                                                                      </v>
      </c>
      <c r="I34" s="9" t="str">
        <f t="shared" si="20"/>
        <v xml:space="preserve">                                                                      </v>
      </c>
    </row>
    <row r="35" spans="1:9" x14ac:dyDescent="0.2">
      <c r="A35" s="9" t="s">
        <v>280</v>
      </c>
      <c r="B35" s="9">
        <v>2</v>
      </c>
      <c r="C35" s="9" t="str">
        <f>REPT(" ",2)</f>
        <v xml:space="preserve">  </v>
      </c>
      <c r="D35" s="9" t="str">
        <f t="shared" ref="D35:I35" si="21">REPT(" ",2)</f>
        <v xml:space="preserve">  </v>
      </c>
      <c r="E35" s="9" t="str">
        <f t="shared" si="21"/>
        <v xml:space="preserve">  </v>
      </c>
      <c r="F35" s="9" t="str">
        <f t="shared" si="21"/>
        <v xml:space="preserve">  </v>
      </c>
      <c r="G35" s="9" t="str">
        <f t="shared" si="21"/>
        <v xml:space="preserve">  </v>
      </c>
      <c r="H35" s="9" t="str">
        <f t="shared" si="21"/>
        <v xml:space="preserve">  </v>
      </c>
      <c r="I35" s="9" t="str">
        <f t="shared" si="21"/>
        <v xml:space="preserve">  </v>
      </c>
    </row>
    <row r="36" spans="1:9" x14ac:dyDescent="0.2">
      <c r="B36" s="9">
        <v>575</v>
      </c>
    </row>
    <row r="39" spans="1:9" ht="10.8" x14ac:dyDescent="0.25">
      <c r="A39" s="54" t="s">
        <v>780</v>
      </c>
      <c r="B39" s="62" t="e">
        <f ca="1">IF(Payment!H13=0,0,C$2&amp;C$3&amp;C$4&amp;C$5&amp;C$7&amp;C$8&amp;C$10&amp;C$11&amp;C$12&amp;C$13&amp;C$14&amp;C$15&amp;C$16&amp;C$17&amp;C$18&amp;C$19&amp;C$20&amp;C$21&amp;C$22&amp;C$23&amp;C$24&amp;C$25&amp;C$26&amp;C$27&amp;C$28&amp;C$29&amp;C$30&amp;C$31&amp;C$32&amp;C$33&amp;C$34&amp;C$35)</f>
        <v>#NAME?</v>
      </c>
    </row>
    <row r="40" spans="1:9" ht="10.8" x14ac:dyDescent="0.25">
      <c r="A40" s="54" t="s">
        <v>689</v>
      </c>
      <c r="B40" s="62" t="e">
        <f ca="1">IF(Payment!H14=0,0,D$2&amp;D$3&amp;D$4&amp;D$5&amp;D$7&amp;D$8&amp;D$10&amp;D$11&amp;D$12&amp;D$13&amp;D$14&amp;D$15&amp;D$16&amp;D$17&amp;D$18&amp;D$19&amp;D$20&amp;D$21&amp;D$22&amp;D$23&amp;D$24&amp;D$25&amp;D$26&amp;D$27&amp;D$28&amp;D$29&amp;D$30&amp;D$31&amp;D$32&amp;D$33&amp;D$34&amp;D$35)</f>
        <v>#NAME?</v>
      </c>
    </row>
    <row r="41" spans="1:9" ht="10.8" x14ac:dyDescent="0.25">
      <c r="A41" s="54" t="s">
        <v>770</v>
      </c>
      <c r="B41" s="62" t="e">
        <f ca="1">IF(Payment!H15=0,0,E$2&amp;E$3&amp;E$4&amp;E$5&amp;E$7&amp;E$8&amp;E$10&amp;E$11&amp;E$12&amp;E$13&amp;E$14&amp;E$15&amp;E$16&amp;E$17&amp;E$18&amp;E$19&amp;E$20&amp;E$21&amp;E$22&amp;E$23&amp;E$24&amp;E$25&amp;E$26&amp;E$27&amp;E$28&amp;E$29&amp;E$30&amp;E$31&amp;E$32&amp;E$33&amp;E$34&amp;E$35)</f>
        <v>#NAME?</v>
      </c>
    </row>
    <row r="42" spans="1:9" ht="10.8" x14ac:dyDescent="0.25">
      <c r="A42" s="54" t="s">
        <v>490</v>
      </c>
      <c r="B42" s="62" t="e">
        <f ca="1">IF(Payment!H16=0,0,F$2&amp;F$3&amp;F$4&amp;F$5&amp;F$7&amp;F$8&amp;F$10&amp;F$11&amp;F$12&amp;F$13&amp;F$14&amp;F$15&amp;F$16&amp;F$17&amp;F$18&amp;F$19&amp;F$20&amp;F$21&amp;F$22&amp;F$23&amp;F$24&amp;F$25&amp;F$26&amp;F$27&amp;F$28&amp;F$29&amp;F$30&amp;F$31&amp;F$32&amp;F$33&amp;F$34&amp;F$35)</f>
        <v>#NAME?</v>
      </c>
    </row>
    <row r="43" spans="1:9" ht="10.8" x14ac:dyDescent="0.25">
      <c r="A43" s="54" t="s">
        <v>694</v>
      </c>
      <c r="B43" s="62" t="e">
        <f ca="1">IF(Payment!H17=0,0,G$2&amp;G$3&amp;G$4&amp;G$5&amp;G$7&amp;G$8&amp;G$10&amp;G$11&amp;G$12&amp;G$13&amp;G$14&amp;G$15&amp;G$16&amp;G$17&amp;G$18&amp;G$19&amp;G$20&amp;G$21&amp;G$22&amp;G$23&amp;G$24&amp;G$25&amp;G$26&amp;G$27&amp;G$28&amp;G$29&amp;G$30&amp;G$31&amp;G$32&amp;G$33&amp;G$34&amp;G$35)</f>
        <v>#NAME?</v>
      </c>
    </row>
    <row r="44" spans="1:9" ht="10.8" x14ac:dyDescent="0.25">
      <c r="A44" s="54" t="s">
        <v>695</v>
      </c>
      <c r="B44" s="62" t="e">
        <f ca="1">IF(Payment!H18=0,0,H$2&amp;H$3&amp;H$4&amp;H$5&amp;H$7&amp;H$8&amp;H$10&amp;H$11&amp;H$12&amp;H$13&amp;H$14&amp;H$15&amp;H$16&amp;H$17&amp;H$18&amp;H$19&amp;H$20&amp;H$21&amp;H$22&amp;H$23&amp;H$24&amp;H$25&amp;H$26&amp;H$27&amp;H$28&amp;H$29&amp;H$30&amp;H$31&amp;H$32&amp;H$33&amp;H$34&amp;H$35)</f>
        <v>#NAME?</v>
      </c>
    </row>
    <row r="45" spans="1:9" ht="10.8" x14ac:dyDescent="0.25">
      <c r="A45" s="54" t="s">
        <v>797</v>
      </c>
      <c r="B45" s="62" t="e">
        <f ca="1">IF(Payment!H19=0,0,I$2&amp;I$3&amp;I$4&amp;I$5&amp;I$7&amp;I$8&amp;I$10&amp;I$11&amp;I$12&amp;I$13&amp;I$14&amp;I$15&amp;I$16&amp;I$17&amp;I$18&amp;I$19&amp;I$20&amp;I$21&amp;I$22&amp;I$23&amp;I$24&amp;I$25&amp;I$26&amp;I$27&amp;I$28&amp;I$29&amp;I$30&amp;I$31&amp;I$32&amp;I$33&amp;I$34&amp;I$35)</f>
        <v>#NAME?</v>
      </c>
    </row>
  </sheetData>
  <phoneticPr fontId="8" type="noConversion"/>
  <pageMargins left="0.75" right="0.75" top="0.56999999999999995" bottom="1" header="0.5" footer="0.5"/>
  <pageSetup paperSize="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L209"/>
  <sheetViews>
    <sheetView workbookViewId="0">
      <pane xSplit="4" ySplit="2" topLeftCell="E174" activePane="bottomRight" state="frozen"/>
      <selection activeCell="G4" sqref="G4"/>
      <selection pane="topRight" activeCell="G4" sqref="G4"/>
      <selection pane="bottomLeft" activeCell="G4" sqref="G4"/>
      <selection pane="bottomRight" activeCell="G4" sqref="G4"/>
    </sheetView>
  </sheetViews>
  <sheetFormatPr defaultColWidth="9.109375" defaultRowHeight="10.199999999999999" x14ac:dyDescent="0.2"/>
  <cols>
    <col min="1" max="1" width="10.109375" style="9" bestFit="1" customWidth="1"/>
    <col min="2" max="2" width="5.88671875" style="9" bestFit="1" customWidth="1"/>
    <col min="3" max="3" width="6.44140625" style="124" bestFit="1" customWidth="1"/>
    <col min="4" max="4" width="7.88671875" style="124" bestFit="1" customWidth="1"/>
    <col min="5" max="12" width="12.88671875" style="125" bestFit="1" customWidth="1"/>
    <col min="13" max="16384" width="9.109375" style="9"/>
  </cols>
  <sheetData>
    <row r="1" spans="1:12" x14ac:dyDescent="0.2">
      <c r="C1" s="9">
        <v>1</v>
      </c>
      <c r="D1" s="124">
        <v>2</v>
      </c>
      <c r="E1" s="124">
        <v>3</v>
      </c>
      <c r="F1" s="124">
        <v>4</v>
      </c>
      <c r="G1" s="124">
        <v>5</v>
      </c>
      <c r="H1" s="124">
        <v>6</v>
      </c>
      <c r="I1" s="124">
        <v>7</v>
      </c>
      <c r="J1" s="124">
        <v>8</v>
      </c>
      <c r="K1" s="124">
        <v>9</v>
      </c>
      <c r="L1" s="124">
        <v>10</v>
      </c>
    </row>
    <row r="2" spans="1:12" s="11" customFormat="1" ht="40.799999999999997" x14ac:dyDescent="0.2">
      <c r="A2" s="11" t="s">
        <v>936</v>
      </c>
      <c r="B2" s="126" t="s">
        <v>340</v>
      </c>
      <c r="C2" s="127" t="s">
        <v>701</v>
      </c>
      <c r="D2" s="127" t="s">
        <v>702</v>
      </c>
      <c r="E2" s="128" t="s">
        <v>288</v>
      </c>
      <c r="F2" s="128" t="s">
        <v>289</v>
      </c>
      <c r="G2" s="128" t="s">
        <v>770</v>
      </c>
      <c r="H2" s="128" t="s">
        <v>490</v>
      </c>
      <c r="I2" s="128" t="s">
        <v>694</v>
      </c>
      <c r="J2" s="128" t="s">
        <v>695</v>
      </c>
      <c r="K2" s="128" t="s">
        <v>798</v>
      </c>
      <c r="L2" s="128" t="s">
        <v>829</v>
      </c>
    </row>
    <row r="3" spans="1:12" x14ac:dyDescent="0.2">
      <c r="A3" s="9" t="str">
        <f t="shared" ref="A3:A34" si="0">B3&amp;TEXT(C3,"00")</f>
        <v>09-00108</v>
      </c>
      <c r="B3" s="9" t="s">
        <v>523</v>
      </c>
      <c r="C3" s="124">
        <v>8</v>
      </c>
      <c r="D3" s="124">
        <v>1</v>
      </c>
      <c r="E3" s="125">
        <v>11176347.720000001</v>
      </c>
      <c r="F3" s="125">
        <v>134977.70000000001</v>
      </c>
      <c r="G3" s="125">
        <v>169307.05</v>
      </c>
      <c r="H3" s="125">
        <v>0</v>
      </c>
      <c r="I3" s="125">
        <v>0</v>
      </c>
      <c r="J3" s="125">
        <v>0</v>
      </c>
      <c r="K3" s="125">
        <v>0</v>
      </c>
    </row>
    <row r="4" spans="1:12" x14ac:dyDescent="0.2">
      <c r="A4" s="9" t="str">
        <f t="shared" si="0"/>
        <v>20-00708</v>
      </c>
      <c r="B4" s="9" t="s">
        <v>554</v>
      </c>
      <c r="C4" s="124">
        <v>8</v>
      </c>
      <c r="D4" s="124">
        <v>1</v>
      </c>
      <c r="E4" s="125">
        <v>253933.45</v>
      </c>
      <c r="F4" s="125">
        <v>18868.73</v>
      </c>
      <c r="G4" s="125">
        <v>0</v>
      </c>
      <c r="H4" s="125">
        <v>0</v>
      </c>
      <c r="I4" s="125">
        <v>0</v>
      </c>
      <c r="J4" s="125">
        <v>0</v>
      </c>
      <c r="K4" s="125">
        <v>0</v>
      </c>
    </row>
    <row r="5" spans="1:12" x14ac:dyDescent="0.2">
      <c r="A5" s="9" t="str">
        <f t="shared" si="0"/>
        <v>14-71208</v>
      </c>
      <c r="B5" s="9" t="s">
        <v>666</v>
      </c>
      <c r="C5" s="124">
        <v>8</v>
      </c>
      <c r="D5" s="124">
        <v>1</v>
      </c>
      <c r="E5" s="125">
        <v>0</v>
      </c>
      <c r="F5" s="125">
        <v>0</v>
      </c>
      <c r="G5" s="125">
        <v>0</v>
      </c>
      <c r="H5" s="125">
        <v>13629.52</v>
      </c>
      <c r="I5" s="125">
        <v>19282.96</v>
      </c>
      <c r="J5" s="125">
        <v>0</v>
      </c>
      <c r="K5" s="125">
        <v>0</v>
      </c>
    </row>
    <row r="6" spans="1:12" x14ac:dyDescent="0.2">
      <c r="A6" s="9" t="str">
        <f t="shared" si="0"/>
        <v>49-72308</v>
      </c>
      <c r="B6" s="9" t="s">
        <v>682</v>
      </c>
      <c r="C6" s="124">
        <v>8</v>
      </c>
      <c r="D6" s="124">
        <v>1</v>
      </c>
      <c r="E6" s="125">
        <v>210864.02</v>
      </c>
      <c r="F6" s="125">
        <v>465.32</v>
      </c>
      <c r="G6" s="125">
        <v>0</v>
      </c>
      <c r="H6" s="125">
        <v>2349.71</v>
      </c>
      <c r="I6" s="125">
        <v>0</v>
      </c>
      <c r="J6" s="125">
        <v>0</v>
      </c>
      <c r="K6" s="125">
        <v>0</v>
      </c>
    </row>
    <row r="7" spans="1:12" x14ac:dyDescent="0.2">
      <c r="A7" s="9" t="str">
        <f>B7&amp;TEXT(C7,"00")</f>
        <v>08-00108</v>
      </c>
      <c r="B7" s="9" t="s">
        <v>516</v>
      </c>
      <c r="C7" s="124">
        <v>8</v>
      </c>
      <c r="D7" s="124">
        <v>1</v>
      </c>
      <c r="E7" s="125">
        <v>14130444.18</v>
      </c>
      <c r="F7" s="125">
        <v>154823.6</v>
      </c>
      <c r="G7" s="125">
        <v>117076.59</v>
      </c>
      <c r="H7" s="125">
        <v>0</v>
      </c>
      <c r="I7" s="125">
        <v>0</v>
      </c>
      <c r="J7" s="125">
        <v>0</v>
      </c>
      <c r="K7" s="125">
        <v>0</v>
      </c>
    </row>
    <row r="8" spans="1:12" x14ac:dyDescent="0.2">
      <c r="A8" s="9" t="str">
        <f t="shared" si="0"/>
        <v>07-01408</v>
      </c>
      <c r="B8" s="9" t="s">
        <v>513</v>
      </c>
      <c r="C8" s="124">
        <v>8</v>
      </c>
      <c r="D8" s="124">
        <v>1</v>
      </c>
      <c r="E8" s="125">
        <v>122327.46</v>
      </c>
      <c r="F8" s="125">
        <v>4118.08</v>
      </c>
      <c r="G8" s="125">
        <v>0</v>
      </c>
      <c r="H8" s="125">
        <v>0</v>
      </c>
      <c r="I8" s="125">
        <v>0</v>
      </c>
      <c r="J8" s="125">
        <v>0</v>
      </c>
      <c r="K8" s="125">
        <v>0</v>
      </c>
    </row>
    <row r="9" spans="1:12" x14ac:dyDescent="0.2">
      <c r="A9" s="9" t="str">
        <f t="shared" si="0"/>
        <v>51-16108</v>
      </c>
      <c r="B9" s="9" t="s">
        <v>651</v>
      </c>
      <c r="C9" s="124">
        <v>8</v>
      </c>
      <c r="D9" s="124">
        <v>1</v>
      </c>
      <c r="E9" s="125">
        <v>479396.7</v>
      </c>
      <c r="F9" s="125">
        <v>24627.06</v>
      </c>
      <c r="G9" s="125">
        <v>0</v>
      </c>
      <c r="H9" s="125">
        <v>0</v>
      </c>
      <c r="I9" s="125">
        <v>0</v>
      </c>
      <c r="J9" s="125">
        <v>0</v>
      </c>
      <c r="K9" s="125">
        <v>0</v>
      </c>
    </row>
    <row r="10" spans="1:12" x14ac:dyDescent="0.2">
      <c r="A10" s="9" t="str">
        <f t="shared" si="0"/>
        <v>01-01308</v>
      </c>
      <c r="B10" s="9" t="s">
        <v>497</v>
      </c>
      <c r="C10" s="124">
        <v>8</v>
      </c>
      <c r="D10" s="124">
        <v>1</v>
      </c>
      <c r="E10" s="125">
        <v>313984.09999999998</v>
      </c>
      <c r="F10" s="125">
        <v>20590.41</v>
      </c>
      <c r="G10" s="125">
        <v>0</v>
      </c>
      <c r="H10" s="125">
        <v>0</v>
      </c>
      <c r="I10" s="125">
        <v>0</v>
      </c>
      <c r="J10" s="125">
        <v>0</v>
      </c>
      <c r="K10" s="125">
        <v>0</v>
      </c>
    </row>
    <row r="11" spans="1:12" x14ac:dyDescent="0.2">
      <c r="A11" s="9" t="str">
        <f t="shared" si="0"/>
        <v>02-00208</v>
      </c>
      <c r="B11" s="9" t="s">
        <v>498</v>
      </c>
      <c r="C11" s="124">
        <v>8</v>
      </c>
      <c r="D11" s="124">
        <v>1</v>
      </c>
      <c r="E11" s="125">
        <v>842539.34</v>
      </c>
      <c r="F11" s="125">
        <v>33212.22</v>
      </c>
      <c r="G11" s="125">
        <v>0</v>
      </c>
      <c r="H11" s="125">
        <v>0</v>
      </c>
      <c r="I11" s="125">
        <v>0</v>
      </c>
      <c r="J11" s="125">
        <v>0</v>
      </c>
      <c r="K11" s="125">
        <v>0</v>
      </c>
    </row>
    <row r="12" spans="1:12" x14ac:dyDescent="0.2">
      <c r="A12" s="9" t="str">
        <f t="shared" si="0"/>
        <v>02-00708</v>
      </c>
      <c r="B12" s="9" t="s">
        <v>499</v>
      </c>
      <c r="C12" s="124">
        <v>8</v>
      </c>
      <c r="D12" s="124">
        <v>1</v>
      </c>
      <c r="E12" s="125">
        <v>91665.44</v>
      </c>
      <c r="F12" s="125">
        <v>25325.040000000001</v>
      </c>
      <c r="G12" s="125">
        <v>0</v>
      </c>
      <c r="H12" s="125">
        <v>0</v>
      </c>
      <c r="I12" s="125">
        <v>0</v>
      </c>
      <c r="J12" s="125">
        <v>0</v>
      </c>
      <c r="K12" s="125">
        <v>0</v>
      </c>
    </row>
    <row r="13" spans="1:12" x14ac:dyDescent="0.2">
      <c r="A13" s="9" t="str">
        <f t="shared" si="0"/>
        <v>02-04608</v>
      </c>
      <c r="B13" s="9" t="s">
        <v>500</v>
      </c>
      <c r="C13" s="124">
        <v>8</v>
      </c>
      <c r="D13" s="124">
        <v>1</v>
      </c>
      <c r="E13" s="125">
        <v>141274.82999999999</v>
      </c>
      <c r="F13" s="125">
        <v>13122.02</v>
      </c>
      <c r="G13" s="125">
        <v>0</v>
      </c>
      <c r="H13" s="125">
        <v>0</v>
      </c>
      <c r="I13" s="125">
        <v>0</v>
      </c>
      <c r="J13" s="125">
        <v>0</v>
      </c>
      <c r="K13" s="125">
        <v>0</v>
      </c>
    </row>
    <row r="14" spans="1:12" x14ac:dyDescent="0.2">
      <c r="A14" s="9" t="str">
        <f t="shared" si="0"/>
        <v>02-72708</v>
      </c>
      <c r="B14" s="9" t="s">
        <v>658</v>
      </c>
      <c r="C14" s="124">
        <v>8</v>
      </c>
      <c r="D14" s="124">
        <v>1</v>
      </c>
      <c r="E14" s="125">
        <v>211435.17</v>
      </c>
      <c r="F14" s="125">
        <v>0</v>
      </c>
      <c r="G14" s="125">
        <v>0</v>
      </c>
      <c r="H14" s="125">
        <v>0</v>
      </c>
      <c r="I14" s="125">
        <v>22332.720000000001</v>
      </c>
      <c r="J14" s="125">
        <v>0</v>
      </c>
      <c r="K14" s="125">
        <v>0</v>
      </c>
    </row>
    <row r="15" spans="1:12" x14ac:dyDescent="0.2">
      <c r="A15" s="9" t="str">
        <f t="shared" si="0"/>
        <v>03-00508</v>
      </c>
      <c r="B15" s="9" t="s">
        <v>501</v>
      </c>
      <c r="C15" s="124">
        <v>8</v>
      </c>
      <c r="D15" s="124">
        <v>1</v>
      </c>
      <c r="E15" s="125">
        <v>332510.44</v>
      </c>
      <c r="F15" s="125">
        <v>6851.84</v>
      </c>
      <c r="G15" s="125">
        <v>0</v>
      </c>
      <c r="H15" s="125">
        <v>0</v>
      </c>
      <c r="I15" s="125">
        <v>0</v>
      </c>
      <c r="J15" s="125">
        <v>0</v>
      </c>
      <c r="K15" s="125">
        <v>0</v>
      </c>
    </row>
    <row r="16" spans="1:12" x14ac:dyDescent="0.2">
      <c r="A16" s="9" t="str">
        <f t="shared" si="0"/>
        <v>03-00608</v>
      </c>
      <c r="B16" s="9" t="s">
        <v>502</v>
      </c>
      <c r="C16" s="124">
        <v>8</v>
      </c>
      <c r="D16" s="124">
        <v>1</v>
      </c>
      <c r="E16" s="125">
        <v>162426.84</v>
      </c>
      <c r="F16" s="125">
        <v>7293.89</v>
      </c>
      <c r="G16" s="125">
        <v>0</v>
      </c>
      <c r="H16" s="125">
        <v>0</v>
      </c>
      <c r="I16" s="125">
        <v>0</v>
      </c>
      <c r="J16" s="125">
        <v>0</v>
      </c>
      <c r="K16" s="125">
        <v>0</v>
      </c>
    </row>
    <row r="17" spans="1:11" x14ac:dyDescent="0.2">
      <c r="A17" s="9" t="str">
        <f t="shared" si="0"/>
        <v>03-00908</v>
      </c>
      <c r="B17" s="9" t="s">
        <v>503</v>
      </c>
      <c r="C17" s="124">
        <v>8</v>
      </c>
      <c r="D17" s="124">
        <v>1</v>
      </c>
      <c r="E17" s="125">
        <v>226358.65</v>
      </c>
      <c r="F17" s="125">
        <v>12773.03</v>
      </c>
      <c r="G17" s="125">
        <v>0</v>
      </c>
      <c r="H17" s="125">
        <v>0</v>
      </c>
      <c r="I17" s="125">
        <v>0</v>
      </c>
      <c r="J17" s="125">
        <v>0</v>
      </c>
      <c r="K17" s="125">
        <v>0</v>
      </c>
    </row>
    <row r="18" spans="1:11" x14ac:dyDescent="0.2">
      <c r="A18" s="9" t="str">
        <f t="shared" si="0"/>
        <v>03-01608</v>
      </c>
      <c r="B18" s="9" t="s">
        <v>504</v>
      </c>
      <c r="C18" s="124">
        <v>8</v>
      </c>
      <c r="D18" s="124">
        <v>1</v>
      </c>
      <c r="E18" s="125">
        <v>110975.82</v>
      </c>
      <c r="F18" s="125">
        <v>1512.29</v>
      </c>
      <c r="G18" s="125">
        <v>0</v>
      </c>
      <c r="H18" s="125">
        <v>0</v>
      </c>
      <c r="I18" s="125">
        <v>0</v>
      </c>
      <c r="J18" s="125">
        <v>0</v>
      </c>
      <c r="K18" s="125">
        <v>0</v>
      </c>
    </row>
    <row r="19" spans="1:11" x14ac:dyDescent="0.2">
      <c r="A19" s="9" t="str">
        <f t="shared" si="0"/>
        <v>03-02908</v>
      </c>
      <c r="B19" s="9" t="s">
        <v>505</v>
      </c>
      <c r="C19" s="124">
        <v>8</v>
      </c>
      <c r="D19" s="124">
        <v>1</v>
      </c>
      <c r="E19" s="125">
        <v>265393.77</v>
      </c>
      <c r="F19" s="125">
        <v>9725.19</v>
      </c>
      <c r="G19" s="125">
        <v>0</v>
      </c>
      <c r="H19" s="125">
        <v>0</v>
      </c>
      <c r="I19" s="125">
        <v>0</v>
      </c>
      <c r="J19" s="125">
        <v>0</v>
      </c>
      <c r="K19" s="125">
        <v>0</v>
      </c>
    </row>
    <row r="20" spans="1:11" x14ac:dyDescent="0.2">
      <c r="A20" s="9" t="str">
        <f t="shared" si="0"/>
        <v>03-03008</v>
      </c>
      <c r="B20" s="9" t="s">
        <v>506</v>
      </c>
      <c r="C20" s="124">
        <v>8</v>
      </c>
      <c r="D20" s="124">
        <v>1</v>
      </c>
      <c r="E20" s="125">
        <v>282976.44</v>
      </c>
      <c r="F20" s="125">
        <v>12168.12</v>
      </c>
      <c r="G20" s="125">
        <v>0</v>
      </c>
      <c r="H20" s="125">
        <v>0</v>
      </c>
      <c r="I20" s="125">
        <v>0</v>
      </c>
      <c r="J20" s="125">
        <v>0</v>
      </c>
      <c r="K20" s="125">
        <v>0</v>
      </c>
    </row>
    <row r="21" spans="1:11" x14ac:dyDescent="0.2">
      <c r="A21" s="9" t="str">
        <f t="shared" si="0"/>
        <v>03-73608</v>
      </c>
      <c r="B21" s="9" t="s">
        <v>659</v>
      </c>
      <c r="C21" s="124">
        <v>8</v>
      </c>
      <c r="D21" s="124">
        <v>1</v>
      </c>
      <c r="E21" s="125">
        <v>0</v>
      </c>
      <c r="F21" s="125">
        <v>0</v>
      </c>
      <c r="G21" s="125">
        <v>0</v>
      </c>
      <c r="H21" s="125">
        <v>0</v>
      </c>
      <c r="I21" s="125">
        <v>0</v>
      </c>
      <c r="J21" s="125">
        <v>0</v>
      </c>
      <c r="K21" s="125">
        <v>0</v>
      </c>
    </row>
    <row r="22" spans="1:11" x14ac:dyDescent="0.2">
      <c r="A22" s="9" t="str">
        <f t="shared" si="0"/>
        <v>04-00108</v>
      </c>
      <c r="B22" s="9" t="s">
        <v>507</v>
      </c>
      <c r="C22" s="124">
        <v>8</v>
      </c>
      <c r="D22" s="124">
        <v>1</v>
      </c>
      <c r="E22" s="125">
        <v>0</v>
      </c>
      <c r="F22" s="125">
        <v>30082.94</v>
      </c>
      <c r="G22" s="125">
        <v>0</v>
      </c>
      <c r="H22" s="125">
        <v>0</v>
      </c>
      <c r="I22" s="125">
        <v>0</v>
      </c>
      <c r="J22" s="125">
        <v>0</v>
      </c>
      <c r="K22" s="125">
        <v>0</v>
      </c>
    </row>
    <row r="23" spans="1:11" x14ac:dyDescent="0.2">
      <c r="A23" s="9" t="str">
        <f t="shared" si="0"/>
        <v>05-00108</v>
      </c>
      <c r="B23" s="9" t="s">
        <v>508</v>
      </c>
      <c r="C23" s="124">
        <v>8</v>
      </c>
      <c r="D23" s="124">
        <v>1</v>
      </c>
      <c r="E23" s="125">
        <v>557409.61</v>
      </c>
      <c r="F23" s="125">
        <v>26325.48</v>
      </c>
      <c r="G23" s="125">
        <v>0</v>
      </c>
      <c r="H23" s="125">
        <v>0</v>
      </c>
      <c r="I23" s="125">
        <v>0</v>
      </c>
      <c r="J23" s="125">
        <v>0</v>
      </c>
      <c r="K23" s="125">
        <v>0</v>
      </c>
    </row>
    <row r="24" spans="1:11" x14ac:dyDescent="0.2">
      <c r="A24" s="9" t="str">
        <f t="shared" si="0"/>
        <v>05-01708</v>
      </c>
      <c r="B24" s="9" t="s">
        <v>509</v>
      </c>
      <c r="C24" s="124">
        <v>8</v>
      </c>
      <c r="D24" s="124">
        <v>1</v>
      </c>
      <c r="E24" s="125">
        <v>251208.09</v>
      </c>
      <c r="F24" s="125">
        <v>13540.81</v>
      </c>
      <c r="G24" s="125">
        <v>0</v>
      </c>
      <c r="H24" s="125">
        <v>0</v>
      </c>
      <c r="I24" s="125">
        <v>0</v>
      </c>
      <c r="J24" s="125">
        <v>0</v>
      </c>
      <c r="K24" s="125">
        <v>0</v>
      </c>
    </row>
    <row r="25" spans="1:11" x14ac:dyDescent="0.2">
      <c r="A25" s="9" t="str">
        <f t="shared" si="0"/>
        <v>05-05408</v>
      </c>
      <c r="B25" s="9" t="s">
        <v>510</v>
      </c>
      <c r="C25" s="124">
        <v>8</v>
      </c>
      <c r="D25" s="124">
        <v>1</v>
      </c>
      <c r="E25" s="125">
        <v>108845.15</v>
      </c>
      <c r="F25" s="125">
        <v>7840.64</v>
      </c>
      <c r="G25" s="125">
        <v>0</v>
      </c>
      <c r="H25" s="125">
        <v>0</v>
      </c>
      <c r="I25" s="125">
        <v>0</v>
      </c>
      <c r="J25" s="125">
        <v>0</v>
      </c>
      <c r="K25" s="125">
        <v>0</v>
      </c>
    </row>
    <row r="26" spans="1:11" x14ac:dyDescent="0.2">
      <c r="A26" s="9" t="str">
        <f t="shared" si="0"/>
        <v>05-37708</v>
      </c>
      <c r="B26" s="9" t="s">
        <v>855</v>
      </c>
      <c r="C26" s="124">
        <v>8</v>
      </c>
      <c r="D26" s="124">
        <v>1</v>
      </c>
      <c r="E26" s="125">
        <v>12807.93</v>
      </c>
      <c r="F26" s="125">
        <v>0</v>
      </c>
      <c r="G26" s="125">
        <v>0</v>
      </c>
      <c r="H26" s="125">
        <v>0</v>
      </c>
      <c r="I26" s="125">
        <v>0</v>
      </c>
      <c r="J26" s="125">
        <v>0</v>
      </c>
      <c r="K26" s="125">
        <v>0</v>
      </c>
    </row>
    <row r="27" spans="1:11" x14ac:dyDescent="0.2">
      <c r="A27" s="9" t="str">
        <f t="shared" si="0"/>
        <v>05-72608</v>
      </c>
      <c r="B27" s="9" t="s">
        <v>660</v>
      </c>
      <c r="C27" s="124">
        <v>8</v>
      </c>
      <c r="D27" s="124">
        <v>1</v>
      </c>
      <c r="E27" s="125">
        <v>0</v>
      </c>
      <c r="F27" s="125">
        <v>0</v>
      </c>
      <c r="G27" s="125">
        <v>0</v>
      </c>
      <c r="H27" s="125">
        <v>0</v>
      </c>
      <c r="I27" s="125">
        <v>0</v>
      </c>
      <c r="J27" s="125">
        <v>0</v>
      </c>
      <c r="K27" s="125">
        <v>0</v>
      </c>
    </row>
    <row r="28" spans="1:11" x14ac:dyDescent="0.2">
      <c r="A28" s="9" t="str">
        <f t="shared" si="0"/>
        <v>06-00108</v>
      </c>
      <c r="B28" s="9" t="s">
        <v>511</v>
      </c>
      <c r="C28" s="124">
        <v>8</v>
      </c>
      <c r="D28" s="124">
        <v>1</v>
      </c>
      <c r="E28" s="125">
        <v>353587.12</v>
      </c>
      <c r="F28" s="125">
        <v>28640.45</v>
      </c>
      <c r="G28" s="125">
        <v>0</v>
      </c>
      <c r="H28" s="125">
        <v>0</v>
      </c>
      <c r="I28" s="125">
        <v>0</v>
      </c>
      <c r="J28" s="125">
        <v>0</v>
      </c>
      <c r="K28" s="125">
        <v>0</v>
      </c>
    </row>
    <row r="29" spans="1:11" x14ac:dyDescent="0.2">
      <c r="A29" s="9" t="str">
        <f t="shared" si="0"/>
        <v>06-03308</v>
      </c>
      <c r="B29" s="9" t="s">
        <v>512</v>
      </c>
      <c r="C29" s="124">
        <v>8</v>
      </c>
      <c r="D29" s="124">
        <v>1</v>
      </c>
      <c r="E29" s="125">
        <v>167404.34</v>
      </c>
      <c r="F29" s="125">
        <v>14041.03</v>
      </c>
      <c r="G29" s="125">
        <v>0</v>
      </c>
      <c r="H29" s="125">
        <v>0</v>
      </c>
      <c r="I29" s="125">
        <v>0</v>
      </c>
      <c r="J29" s="125">
        <v>0</v>
      </c>
      <c r="K29" s="125">
        <v>0</v>
      </c>
    </row>
    <row r="30" spans="1:11" x14ac:dyDescent="0.2">
      <c r="A30" s="9" t="str">
        <f t="shared" si="0"/>
        <v>07-02708</v>
      </c>
      <c r="B30" s="9" t="s">
        <v>514</v>
      </c>
      <c r="C30" s="124">
        <v>8</v>
      </c>
      <c r="D30" s="124">
        <v>1</v>
      </c>
      <c r="E30" s="125">
        <v>215759.29</v>
      </c>
      <c r="F30" s="125">
        <v>12575.27</v>
      </c>
      <c r="G30" s="125">
        <v>0</v>
      </c>
      <c r="H30" s="125">
        <v>0</v>
      </c>
      <c r="I30" s="125">
        <v>0</v>
      </c>
      <c r="J30" s="125">
        <v>0</v>
      </c>
      <c r="K30" s="125">
        <v>0</v>
      </c>
    </row>
    <row r="31" spans="1:11" x14ac:dyDescent="0.2">
      <c r="A31" s="9" t="str">
        <f t="shared" si="0"/>
        <v>07-03608</v>
      </c>
      <c r="B31" s="9" t="s">
        <v>515</v>
      </c>
      <c r="C31" s="124">
        <v>8</v>
      </c>
      <c r="D31" s="124">
        <v>1</v>
      </c>
      <c r="E31" s="125">
        <v>85660.800000000003</v>
      </c>
      <c r="F31" s="125">
        <v>8515.36</v>
      </c>
      <c r="G31" s="125">
        <v>0</v>
      </c>
      <c r="H31" s="125">
        <v>0</v>
      </c>
      <c r="I31" s="125">
        <v>0</v>
      </c>
      <c r="J31" s="125">
        <v>0</v>
      </c>
      <c r="K31" s="125">
        <v>0</v>
      </c>
    </row>
    <row r="32" spans="1:11" x14ac:dyDescent="0.2">
      <c r="A32" s="9" t="str">
        <f t="shared" si="0"/>
        <v>08-02508</v>
      </c>
      <c r="B32" s="9" t="s">
        <v>517</v>
      </c>
      <c r="C32" s="124">
        <v>8</v>
      </c>
      <c r="D32" s="124">
        <v>1</v>
      </c>
      <c r="E32" s="125">
        <v>48741.97</v>
      </c>
      <c r="F32" s="125">
        <v>0</v>
      </c>
      <c r="G32" s="125">
        <v>0</v>
      </c>
      <c r="H32" s="125">
        <v>0</v>
      </c>
      <c r="I32" s="125">
        <v>0</v>
      </c>
      <c r="J32" s="125">
        <v>0</v>
      </c>
      <c r="K32" s="125">
        <v>0</v>
      </c>
    </row>
    <row r="33" spans="1:11" x14ac:dyDescent="0.2">
      <c r="A33" s="9" t="str">
        <f t="shared" si="0"/>
        <v>08-02808</v>
      </c>
      <c r="B33" s="9" t="s">
        <v>518</v>
      </c>
      <c r="C33" s="124">
        <v>8</v>
      </c>
      <c r="D33" s="124">
        <v>1</v>
      </c>
      <c r="E33" s="125">
        <v>90257.63</v>
      </c>
      <c r="F33" s="125">
        <v>7037.97</v>
      </c>
      <c r="G33" s="125">
        <v>0</v>
      </c>
      <c r="H33" s="125">
        <v>0</v>
      </c>
      <c r="I33" s="125">
        <v>0</v>
      </c>
      <c r="J33" s="125">
        <v>0</v>
      </c>
      <c r="K33" s="125">
        <v>0</v>
      </c>
    </row>
    <row r="34" spans="1:11" x14ac:dyDescent="0.2">
      <c r="A34" s="9" t="str">
        <f t="shared" si="0"/>
        <v>08-03308</v>
      </c>
      <c r="B34" s="9" t="s">
        <v>519</v>
      </c>
      <c r="C34" s="124">
        <v>8</v>
      </c>
      <c r="D34" s="124">
        <v>1</v>
      </c>
      <c r="E34" s="125">
        <v>67713.73</v>
      </c>
      <c r="F34" s="125">
        <v>4315.84</v>
      </c>
      <c r="G34" s="125">
        <v>0</v>
      </c>
      <c r="H34" s="125">
        <v>0</v>
      </c>
      <c r="I34" s="125">
        <v>0</v>
      </c>
      <c r="J34" s="125">
        <v>0</v>
      </c>
      <c r="K34" s="125">
        <v>0</v>
      </c>
    </row>
    <row r="35" spans="1:11" x14ac:dyDescent="0.2">
      <c r="A35" s="9" t="str">
        <f t="shared" ref="A35:A66" si="1">B35&amp;TEXT(C35,"00")</f>
        <v>08-03508</v>
      </c>
      <c r="B35" s="9" t="s">
        <v>520</v>
      </c>
      <c r="C35" s="124">
        <v>8</v>
      </c>
      <c r="D35" s="124">
        <v>1</v>
      </c>
      <c r="E35" s="125">
        <v>0</v>
      </c>
      <c r="F35" s="125">
        <v>4978.92</v>
      </c>
      <c r="G35" s="125">
        <v>0</v>
      </c>
      <c r="H35" s="125">
        <v>0</v>
      </c>
      <c r="I35" s="125">
        <v>0</v>
      </c>
      <c r="J35" s="125">
        <v>0</v>
      </c>
      <c r="K35" s="125">
        <v>0</v>
      </c>
    </row>
    <row r="36" spans="1:11" x14ac:dyDescent="0.2">
      <c r="A36" s="9" t="str">
        <f t="shared" si="1"/>
        <v>08-03908</v>
      </c>
      <c r="B36" s="9" t="s">
        <v>521</v>
      </c>
      <c r="C36" s="124">
        <v>8</v>
      </c>
      <c r="D36" s="124">
        <v>1</v>
      </c>
      <c r="E36" s="125">
        <v>97968.78</v>
      </c>
      <c r="F36" s="125">
        <v>0</v>
      </c>
      <c r="G36" s="125">
        <v>0</v>
      </c>
      <c r="H36" s="125">
        <v>0</v>
      </c>
      <c r="I36" s="125">
        <v>0</v>
      </c>
      <c r="J36" s="125">
        <v>0</v>
      </c>
      <c r="K36" s="125">
        <v>0</v>
      </c>
    </row>
    <row r="37" spans="1:11" x14ac:dyDescent="0.2">
      <c r="A37" s="9" t="str">
        <f t="shared" si="1"/>
        <v>08-04508</v>
      </c>
      <c r="B37" s="9" t="s">
        <v>522</v>
      </c>
      <c r="C37" s="124">
        <v>8</v>
      </c>
      <c r="D37" s="124">
        <v>1</v>
      </c>
      <c r="E37" s="125">
        <v>15164.61</v>
      </c>
      <c r="F37" s="125">
        <v>0</v>
      </c>
      <c r="G37" s="125">
        <v>0</v>
      </c>
      <c r="H37" s="125">
        <v>0</v>
      </c>
      <c r="I37" s="125">
        <v>0</v>
      </c>
      <c r="J37" s="125">
        <v>0</v>
      </c>
      <c r="K37" s="125">
        <v>0</v>
      </c>
    </row>
    <row r="38" spans="1:11" x14ac:dyDescent="0.2">
      <c r="A38" s="9" t="str">
        <f t="shared" si="1"/>
        <v>08-37808</v>
      </c>
      <c r="B38" s="9" t="s">
        <v>1091</v>
      </c>
      <c r="C38" s="124">
        <v>8</v>
      </c>
      <c r="D38" s="124">
        <v>1</v>
      </c>
      <c r="E38" s="125">
        <v>82291.839999999997</v>
      </c>
      <c r="F38" s="125">
        <v>0</v>
      </c>
      <c r="G38" s="125">
        <v>0</v>
      </c>
      <c r="H38" s="125">
        <v>0</v>
      </c>
      <c r="I38" s="125">
        <v>0</v>
      </c>
      <c r="J38" s="125">
        <v>0</v>
      </c>
      <c r="K38" s="125">
        <v>0</v>
      </c>
    </row>
    <row r="39" spans="1:11" x14ac:dyDescent="0.2">
      <c r="A39" s="9" t="str">
        <f t="shared" si="1"/>
        <v>08-70208</v>
      </c>
      <c r="B39" s="9" t="s">
        <v>661</v>
      </c>
      <c r="C39" s="124">
        <v>8</v>
      </c>
      <c r="D39" s="124">
        <v>1</v>
      </c>
      <c r="E39" s="125">
        <v>18643.419999999998</v>
      </c>
      <c r="F39" s="125">
        <v>0</v>
      </c>
      <c r="G39" s="125">
        <v>0</v>
      </c>
      <c r="H39" s="125">
        <v>0</v>
      </c>
      <c r="I39" s="125">
        <v>0</v>
      </c>
      <c r="J39" s="125">
        <v>0</v>
      </c>
      <c r="K39" s="125">
        <v>0</v>
      </c>
    </row>
    <row r="40" spans="1:11" x14ac:dyDescent="0.2">
      <c r="A40" s="9" t="str">
        <f t="shared" si="1"/>
        <v>08-71108</v>
      </c>
      <c r="B40" s="9" t="s">
        <v>662</v>
      </c>
      <c r="C40" s="124">
        <v>8</v>
      </c>
      <c r="D40" s="124">
        <v>1</v>
      </c>
      <c r="E40" s="125">
        <v>0</v>
      </c>
      <c r="F40" s="125">
        <v>0</v>
      </c>
      <c r="G40" s="125">
        <v>0</v>
      </c>
      <c r="H40" s="125">
        <v>53557.22</v>
      </c>
      <c r="I40" s="125">
        <v>46685.16</v>
      </c>
      <c r="J40" s="125">
        <v>0</v>
      </c>
      <c r="K40" s="125">
        <v>0</v>
      </c>
    </row>
    <row r="41" spans="1:11" x14ac:dyDescent="0.2">
      <c r="A41" s="9" t="str">
        <f t="shared" si="1"/>
        <v>08-73908</v>
      </c>
      <c r="B41" s="9" t="s">
        <v>1130</v>
      </c>
      <c r="C41" s="124">
        <v>8</v>
      </c>
      <c r="D41" s="124">
        <v>1</v>
      </c>
      <c r="E41" s="125">
        <v>0</v>
      </c>
      <c r="F41" s="125">
        <v>0</v>
      </c>
      <c r="G41" s="125">
        <v>0</v>
      </c>
      <c r="H41" s="125">
        <v>0</v>
      </c>
      <c r="I41" s="125">
        <v>0</v>
      </c>
      <c r="J41" s="125">
        <v>0</v>
      </c>
      <c r="K41" s="125">
        <v>0</v>
      </c>
    </row>
    <row r="42" spans="1:11" x14ac:dyDescent="0.2">
      <c r="A42" s="9" t="str">
        <f t="shared" si="1"/>
        <v>09-00208</v>
      </c>
      <c r="B42" s="9" t="s">
        <v>524</v>
      </c>
      <c r="C42" s="124">
        <v>8</v>
      </c>
      <c r="D42" s="124">
        <v>1</v>
      </c>
      <c r="E42" s="125">
        <v>913289.2</v>
      </c>
      <c r="F42" s="125">
        <v>24673.59</v>
      </c>
      <c r="G42" s="125">
        <v>0</v>
      </c>
      <c r="H42" s="125">
        <v>0</v>
      </c>
      <c r="I42" s="125">
        <v>0</v>
      </c>
      <c r="J42" s="125">
        <v>0</v>
      </c>
      <c r="K42" s="125">
        <v>0</v>
      </c>
    </row>
    <row r="43" spans="1:11" x14ac:dyDescent="0.2">
      <c r="A43" s="9" t="str">
        <f t="shared" si="1"/>
        <v>09-00408</v>
      </c>
      <c r="B43" s="9" t="s">
        <v>525</v>
      </c>
      <c r="C43" s="124">
        <v>8</v>
      </c>
      <c r="D43" s="124">
        <v>1</v>
      </c>
      <c r="E43" s="125">
        <v>196198.52</v>
      </c>
      <c r="F43" s="125">
        <v>15099.63</v>
      </c>
      <c r="G43" s="125">
        <v>0</v>
      </c>
      <c r="H43" s="125">
        <v>0</v>
      </c>
      <c r="I43" s="125">
        <v>0</v>
      </c>
      <c r="J43" s="125">
        <v>0</v>
      </c>
      <c r="K43" s="125">
        <v>0</v>
      </c>
    </row>
    <row r="44" spans="1:11" x14ac:dyDescent="0.2">
      <c r="A44" s="9" t="str">
        <f t="shared" si="1"/>
        <v>09-00608</v>
      </c>
      <c r="B44" s="9" t="s">
        <v>526</v>
      </c>
      <c r="C44" s="124">
        <v>8</v>
      </c>
      <c r="D44" s="124">
        <v>1</v>
      </c>
      <c r="E44" s="125">
        <v>13558301.560000001</v>
      </c>
      <c r="F44" s="125">
        <v>128893.64</v>
      </c>
      <c r="G44" s="125">
        <v>56210.03</v>
      </c>
      <c r="H44" s="125">
        <v>0</v>
      </c>
      <c r="I44" s="125">
        <v>0</v>
      </c>
      <c r="J44" s="125">
        <v>0</v>
      </c>
      <c r="K44" s="125">
        <v>0</v>
      </c>
    </row>
    <row r="45" spans="1:11" x14ac:dyDescent="0.2">
      <c r="A45" s="9" t="str">
        <f t="shared" si="1"/>
        <v>09-00708</v>
      </c>
      <c r="B45" s="9" t="s">
        <v>527</v>
      </c>
      <c r="C45" s="124">
        <v>8</v>
      </c>
      <c r="D45" s="124">
        <v>1</v>
      </c>
      <c r="E45" s="125">
        <v>187173.04</v>
      </c>
      <c r="F45" s="125">
        <v>3478.27</v>
      </c>
      <c r="G45" s="125">
        <v>0</v>
      </c>
      <c r="H45" s="125">
        <v>0</v>
      </c>
      <c r="I45" s="125">
        <v>0</v>
      </c>
      <c r="J45" s="125">
        <v>0</v>
      </c>
      <c r="K45" s="125">
        <v>0</v>
      </c>
    </row>
    <row r="46" spans="1:11" x14ac:dyDescent="0.2">
      <c r="A46" s="9" t="str">
        <f t="shared" si="1"/>
        <v>09-01708</v>
      </c>
      <c r="B46" s="9" t="s">
        <v>528</v>
      </c>
      <c r="C46" s="124">
        <v>8</v>
      </c>
      <c r="D46" s="124">
        <v>1</v>
      </c>
      <c r="E46" s="125">
        <v>1027354.97</v>
      </c>
      <c r="F46" s="125">
        <v>20218.150000000001</v>
      </c>
      <c r="G46" s="125">
        <v>0</v>
      </c>
      <c r="H46" s="125">
        <v>0</v>
      </c>
      <c r="I46" s="125">
        <v>0</v>
      </c>
      <c r="J46" s="125">
        <v>0</v>
      </c>
      <c r="K46" s="125">
        <v>0</v>
      </c>
    </row>
    <row r="47" spans="1:11" x14ac:dyDescent="0.2">
      <c r="A47" s="9" t="str">
        <f t="shared" si="1"/>
        <v>09-08508</v>
      </c>
      <c r="B47" s="9" t="s">
        <v>1107</v>
      </c>
      <c r="C47" s="124">
        <v>8</v>
      </c>
      <c r="D47" s="124">
        <v>1</v>
      </c>
      <c r="E47" s="125">
        <v>197632.51</v>
      </c>
      <c r="F47" s="125">
        <v>16251.3</v>
      </c>
      <c r="G47" s="125">
        <v>0</v>
      </c>
      <c r="H47" s="125">
        <v>0</v>
      </c>
      <c r="I47" s="125">
        <v>0</v>
      </c>
      <c r="J47" s="125">
        <v>0</v>
      </c>
      <c r="K47" s="125">
        <v>0</v>
      </c>
    </row>
    <row r="48" spans="1:11" x14ac:dyDescent="0.2">
      <c r="A48" s="9" t="str">
        <f t="shared" si="1"/>
        <v>09-09708</v>
      </c>
      <c r="B48" s="9" t="s">
        <v>529</v>
      </c>
      <c r="C48" s="124">
        <v>8</v>
      </c>
      <c r="D48" s="124">
        <v>1</v>
      </c>
      <c r="E48" s="125">
        <v>725677.22</v>
      </c>
      <c r="F48" s="125">
        <v>20508.98</v>
      </c>
      <c r="G48" s="125">
        <v>0</v>
      </c>
      <c r="H48" s="125">
        <v>0</v>
      </c>
      <c r="I48" s="125">
        <v>0</v>
      </c>
      <c r="J48" s="125">
        <v>0</v>
      </c>
      <c r="K48" s="125">
        <v>0</v>
      </c>
    </row>
    <row r="49" spans="1:11" x14ac:dyDescent="0.2">
      <c r="A49" s="9" t="str">
        <f t="shared" si="1"/>
        <v>09-37508</v>
      </c>
      <c r="B49" s="9" t="s">
        <v>853</v>
      </c>
      <c r="C49" s="124">
        <v>8</v>
      </c>
      <c r="D49" s="124">
        <v>1</v>
      </c>
      <c r="E49" s="125">
        <v>87003.21</v>
      </c>
      <c r="F49" s="125">
        <v>0</v>
      </c>
      <c r="G49" s="125">
        <v>0</v>
      </c>
      <c r="H49" s="125">
        <v>0</v>
      </c>
      <c r="I49" s="125">
        <v>0</v>
      </c>
      <c r="J49" s="125">
        <v>0</v>
      </c>
      <c r="K49" s="125">
        <v>0</v>
      </c>
    </row>
    <row r="50" spans="1:11" x14ac:dyDescent="0.2">
      <c r="A50" s="9" t="str">
        <f t="shared" si="1"/>
        <v>09-71708</v>
      </c>
      <c r="B50" s="9" t="s">
        <v>663</v>
      </c>
      <c r="C50" s="124">
        <v>8</v>
      </c>
      <c r="D50" s="124">
        <v>1</v>
      </c>
      <c r="E50" s="125">
        <v>0</v>
      </c>
      <c r="F50" s="125">
        <v>0</v>
      </c>
      <c r="G50" s="125">
        <v>0</v>
      </c>
      <c r="H50" s="125">
        <v>22631.84</v>
      </c>
      <c r="I50" s="125">
        <v>0</v>
      </c>
      <c r="J50" s="125">
        <v>0</v>
      </c>
      <c r="K50" s="125">
        <v>0</v>
      </c>
    </row>
    <row r="51" spans="1:11" x14ac:dyDescent="0.2">
      <c r="A51" s="9" t="str">
        <f t="shared" si="1"/>
        <v>09-73008</v>
      </c>
      <c r="B51" s="9" t="s">
        <v>664</v>
      </c>
      <c r="C51" s="124">
        <v>8</v>
      </c>
      <c r="D51" s="124">
        <v>1</v>
      </c>
      <c r="E51" s="125">
        <v>0</v>
      </c>
      <c r="F51" s="125">
        <v>0</v>
      </c>
      <c r="G51" s="125">
        <v>0</v>
      </c>
      <c r="H51" s="125">
        <v>112723.8</v>
      </c>
      <c r="I51" s="125">
        <v>3406.83</v>
      </c>
      <c r="J51" s="125">
        <v>0</v>
      </c>
      <c r="K51" s="125">
        <v>0</v>
      </c>
    </row>
    <row r="52" spans="1:11" x14ac:dyDescent="0.2">
      <c r="A52" s="9" t="str">
        <f t="shared" si="1"/>
        <v>09-73408</v>
      </c>
      <c r="B52" s="9" t="s">
        <v>665</v>
      </c>
      <c r="C52" s="124">
        <v>8</v>
      </c>
      <c r="D52" s="124">
        <v>1</v>
      </c>
      <c r="E52" s="125">
        <v>0</v>
      </c>
      <c r="F52" s="125">
        <v>0</v>
      </c>
      <c r="G52" s="125">
        <v>0</v>
      </c>
      <c r="H52" s="125">
        <v>27555.88</v>
      </c>
      <c r="I52" s="125">
        <v>0</v>
      </c>
      <c r="J52" s="125">
        <v>0</v>
      </c>
      <c r="K52" s="125">
        <v>0</v>
      </c>
    </row>
    <row r="53" spans="1:11" x14ac:dyDescent="0.2">
      <c r="A53" s="9" t="str">
        <f t="shared" si="1"/>
        <v>10-01908</v>
      </c>
      <c r="B53" s="9" t="s">
        <v>530</v>
      </c>
      <c r="C53" s="124">
        <v>8</v>
      </c>
      <c r="D53" s="124">
        <v>1</v>
      </c>
      <c r="E53" s="125">
        <v>118677.44</v>
      </c>
      <c r="F53" s="125">
        <v>9922.9500000000007</v>
      </c>
      <c r="G53" s="125">
        <v>11429.55</v>
      </c>
      <c r="H53" s="125">
        <v>0</v>
      </c>
      <c r="I53" s="125">
        <v>0</v>
      </c>
      <c r="J53" s="125">
        <v>0</v>
      </c>
      <c r="K53" s="125">
        <v>0</v>
      </c>
    </row>
    <row r="54" spans="1:11" x14ac:dyDescent="0.2">
      <c r="A54" s="9" t="str">
        <f t="shared" si="1"/>
        <v>10-02308</v>
      </c>
      <c r="B54" s="9" t="s">
        <v>531</v>
      </c>
      <c r="C54" s="124">
        <v>8</v>
      </c>
      <c r="D54" s="124">
        <v>1</v>
      </c>
      <c r="E54" s="125">
        <v>268387.37</v>
      </c>
      <c r="F54" s="125">
        <v>16030.27</v>
      </c>
      <c r="G54" s="125">
        <v>0</v>
      </c>
      <c r="H54" s="125">
        <v>0</v>
      </c>
      <c r="I54" s="125">
        <v>0</v>
      </c>
      <c r="J54" s="125">
        <v>0</v>
      </c>
      <c r="K54" s="125">
        <v>0</v>
      </c>
    </row>
    <row r="55" spans="1:11" x14ac:dyDescent="0.2">
      <c r="A55" s="9" t="str">
        <f t="shared" si="1"/>
        <v>11-04008</v>
      </c>
      <c r="B55" s="9" t="s">
        <v>532</v>
      </c>
      <c r="C55" s="124">
        <v>8</v>
      </c>
      <c r="D55" s="124">
        <v>1</v>
      </c>
      <c r="E55" s="125">
        <v>239989.21</v>
      </c>
      <c r="F55" s="125">
        <v>13517.55</v>
      </c>
      <c r="G55" s="125">
        <v>0</v>
      </c>
      <c r="H55" s="125">
        <v>0</v>
      </c>
      <c r="I55" s="125">
        <v>0</v>
      </c>
      <c r="J55" s="125">
        <v>0</v>
      </c>
      <c r="K55" s="125">
        <v>0</v>
      </c>
    </row>
    <row r="56" spans="1:11" x14ac:dyDescent="0.2">
      <c r="A56" s="9" t="str">
        <f t="shared" si="1"/>
        <v>11-04108</v>
      </c>
      <c r="B56" s="9" t="s">
        <v>533</v>
      </c>
      <c r="C56" s="124">
        <v>8</v>
      </c>
      <c r="D56" s="124">
        <v>1</v>
      </c>
      <c r="E56" s="125">
        <v>390106.52</v>
      </c>
      <c r="F56" s="125">
        <v>16030.27</v>
      </c>
      <c r="G56" s="125">
        <v>0</v>
      </c>
      <c r="H56" s="125">
        <v>0</v>
      </c>
      <c r="I56" s="125">
        <v>0</v>
      </c>
      <c r="J56" s="125">
        <v>0</v>
      </c>
      <c r="K56" s="125">
        <v>0</v>
      </c>
    </row>
    <row r="57" spans="1:11" x14ac:dyDescent="0.2">
      <c r="A57" s="9" t="str">
        <f t="shared" si="1"/>
        <v>12-00108</v>
      </c>
      <c r="B57" s="9" t="s">
        <v>534</v>
      </c>
      <c r="C57" s="124">
        <v>8</v>
      </c>
      <c r="D57" s="124">
        <v>1</v>
      </c>
      <c r="E57" s="125">
        <v>116743.1</v>
      </c>
      <c r="F57" s="125">
        <v>20125.09</v>
      </c>
      <c r="G57" s="125">
        <v>0</v>
      </c>
      <c r="H57" s="125">
        <v>0</v>
      </c>
      <c r="I57" s="125">
        <v>0</v>
      </c>
      <c r="J57" s="125">
        <v>0</v>
      </c>
      <c r="K57" s="125">
        <v>0</v>
      </c>
    </row>
    <row r="58" spans="1:11" x14ac:dyDescent="0.2">
      <c r="A58" s="9" t="str">
        <f t="shared" si="1"/>
        <v>13-01608</v>
      </c>
      <c r="B58" s="9" t="s">
        <v>535</v>
      </c>
      <c r="C58" s="124">
        <v>8</v>
      </c>
      <c r="D58" s="124">
        <v>1</v>
      </c>
      <c r="E58" s="125">
        <v>65714.039999999994</v>
      </c>
      <c r="F58" s="125">
        <v>26488.34</v>
      </c>
      <c r="G58" s="125">
        <v>0</v>
      </c>
      <c r="H58" s="125">
        <v>0</v>
      </c>
      <c r="I58" s="125">
        <v>0</v>
      </c>
      <c r="J58" s="125">
        <v>0</v>
      </c>
      <c r="K58" s="125">
        <v>0</v>
      </c>
    </row>
    <row r="59" spans="1:11" x14ac:dyDescent="0.2">
      <c r="A59" s="9" t="str">
        <f t="shared" si="1"/>
        <v>13-03708</v>
      </c>
      <c r="B59" s="9" t="s">
        <v>536</v>
      </c>
      <c r="C59" s="124">
        <v>8</v>
      </c>
      <c r="D59" s="124">
        <v>1</v>
      </c>
      <c r="E59" s="125">
        <v>102960.94</v>
      </c>
      <c r="F59" s="125">
        <v>12994.06</v>
      </c>
      <c r="G59" s="125">
        <v>0</v>
      </c>
      <c r="H59" s="125">
        <v>0</v>
      </c>
      <c r="I59" s="125">
        <v>0</v>
      </c>
      <c r="J59" s="125">
        <v>0</v>
      </c>
      <c r="K59" s="125">
        <v>0</v>
      </c>
    </row>
    <row r="60" spans="1:11" x14ac:dyDescent="0.2">
      <c r="A60" s="9" t="str">
        <f t="shared" si="1"/>
        <v>14-00208</v>
      </c>
      <c r="B60" s="9" t="s">
        <v>537</v>
      </c>
      <c r="C60" s="124">
        <v>8</v>
      </c>
      <c r="D60" s="124">
        <v>1</v>
      </c>
      <c r="E60" s="125">
        <v>338305.01</v>
      </c>
      <c r="F60" s="125">
        <v>17426.23</v>
      </c>
      <c r="G60" s="125">
        <v>0</v>
      </c>
      <c r="H60" s="125">
        <v>0</v>
      </c>
      <c r="I60" s="125">
        <v>0</v>
      </c>
      <c r="J60" s="125">
        <v>0</v>
      </c>
      <c r="K60" s="125">
        <v>0</v>
      </c>
    </row>
    <row r="61" spans="1:11" x14ac:dyDescent="0.2">
      <c r="A61" s="9" t="str">
        <f t="shared" si="1"/>
        <v>15-00608</v>
      </c>
      <c r="B61" s="9" t="s">
        <v>538</v>
      </c>
      <c r="C61" s="124">
        <v>8</v>
      </c>
      <c r="D61" s="124">
        <v>1</v>
      </c>
      <c r="E61" s="125">
        <v>184551.16</v>
      </c>
      <c r="F61" s="125">
        <v>13564.08</v>
      </c>
      <c r="G61" s="125">
        <v>0</v>
      </c>
      <c r="H61" s="125">
        <v>0</v>
      </c>
      <c r="I61" s="125">
        <v>0</v>
      </c>
      <c r="J61" s="125">
        <v>0</v>
      </c>
      <c r="K61" s="125">
        <v>0</v>
      </c>
    </row>
    <row r="62" spans="1:11" x14ac:dyDescent="0.2">
      <c r="A62" s="9" t="str">
        <f t="shared" si="1"/>
        <v>15-01508</v>
      </c>
      <c r="B62" s="9" t="s">
        <v>539</v>
      </c>
      <c r="C62" s="124">
        <v>8</v>
      </c>
      <c r="D62" s="124">
        <v>1</v>
      </c>
      <c r="E62" s="125">
        <v>143623.73000000001</v>
      </c>
      <c r="F62" s="125">
        <v>11981.99</v>
      </c>
      <c r="G62" s="125">
        <v>0</v>
      </c>
      <c r="H62" s="125">
        <v>0</v>
      </c>
      <c r="I62" s="125">
        <v>0</v>
      </c>
      <c r="J62" s="125">
        <v>0</v>
      </c>
      <c r="K62" s="125">
        <v>0</v>
      </c>
    </row>
    <row r="63" spans="1:11" x14ac:dyDescent="0.2">
      <c r="A63" s="9" t="str">
        <f t="shared" si="1"/>
        <v>15-03608</v>
      </c>
      <c r="B63" s="9" t="s">
        <v>540</v>
      </c>
      <c r="C63" s="124">
        <v>8</v>
      </c>
      <c r="D63" s="124">
        <v>1</v>
      </c>
      <c r="E63" s="125">
        <v>286768.27</v>
      </c>
      <c r="F63" s="125">
        <v>15948.84</v>
      </c>
      <c r="G63" s="125">
        <v>0</v>
      </c>
      <c r="H63" s="125">
        <v>0</v>
      </c>
      <c r="I63" s="125">
        <v>0</v>
      </c>
      <c r="J63" s="125">
        <v>0</v>
      </c>
      <c r="K63" s="125">
        <v>0</v>
      </c>
    </row>
    <row r="64" spans="1:11" x14ac:dyDescent="0.2">
      <c r="A64" s="9" t="str">
        <f t="shared" si="1"/>
        <v>16-04908</v>
      </c>
      <c r="B64" s="9" t="s">
        <v>541</v>
      </c>
      <c r="C64" s="124">
        <v>8</v>
      </c>
      <c r="D64" s="124">
        <v>1</v>
      </c>
      <c r="E64" s="125">
        <v>517525.3</v>
      </c>
      <c r="F64" s="125">
        <v>18124.21</v>
      </c>
      <c r="G64" s="125">
        <v>0</v>
      </c>
      <c r="H64" s="125">
        <v>0</v>
      </c>
      <c r="I64" s="125">
        <v>0</v>
      </c>
      <c r="J64" s="125">
        <v>0</v>
      </c>
      <c r="K64" s="125">
        <v>0</v>
      </c>
    </row>
    <row r="65" spans="1:11" x14ac:dyDescent="0.2">
      <c r="A65" s="9" t="str">
        <f t="shared" si="1"/>
        <v>17-00308</v>
      </c>
      <c r="B65" s="9" t="s">
        <v>542</v>
      </c>
      <c r="C65" s="124">
        <v>8</v>
      </c>
      <c r="D65" s="124">
        <v>1</v>
      </c>
      <c r="E65" s="125">
        <v>266787.61</v>
      </c>
      <c r="F65" s="125">
        <v>10050.91</v>
      </c>
      <c r="G65" s="125">
        <v>0</v>
      </c>
      <c r="H65" s="125">
        <v>0</v>
      </c>
      <c r="I65" s="125">
        <v>0</v>
      </c>
      <c r="J65" s="125">
        <v>0</v>
      </c>
      <c r="K65" s="125">
        <v>0</v>
      </c>
    </row>
    <row r="66" spans="1:11" x14ac:dyDescent="0.2">
      <c r="A66" s="9" t="str">
        <f t="shared" si="1"/>
        <v>17-00608</v>
      </c>
      <c r="B66" s="9" t="s">
        <v>543</v>
      </c>
      <c r="C66" s="124">
        <v>8</v>
      </c>
      <c r="D66" s="124">
        <v>1</v>
      </c>
      <c r="E66" s="125">
        <v>52602</v>
      </c>
      <c r="F66" s="125">
        <v>7270.63</v>
      </c>
      <c r="G66" s="125">
        <v>0</v>
      </c>
      <c r="H66" s="125">
        <v>0</v>
      </c>
      <c r="I66" s="125">
        <v>0</v>
      </c>
      <c r="J66" s="125">
        <v>0</v>
      </c>
      <c r="K66" s="125">
        <v>0</v>
      </c>
    </row>
    <row r="67" spans="1:11" x14ac:dyDescent="0.2">
      <c r="A67" s="9" t="str">
        <f t="shared" ref="A67:A98" si="2">B67&amp;TEXT(C67,"00")</f>
        <v>18-00108</v>
      </c>
      <c r="B67" s="9" t="s">
        <v>544</v>
      </c>
      <c r="C67" s="124">
        <v>8</v>
      </c>
      <c r="D67" s="124">
        <v>1</v>
      </c>
      <c r="E67" s="125">
        <v>7973227.8700000001</v>
      </c>
      <c r="F67" s="125">
        <v>45694.42</v>
      </c>
      <c r="G67" s="125">
        <v>80521.759999999995</v>
      </c>
      <c r="H67" s="125">
        <v>0</v>
      </c>
      <c r="I67" s="125">
        <v>0</v>
      </c>
      <c r="J67" s="125">
        <v>0</v>
      </c>
      <c r="K67" s="125">
        <v>0</v>
      </c>
    </row>
    <row r="68" spans="1:11" x14ac:dyDescent="0.2">
      <c r="A68" s="9" t="str">
        <f t="shared" si="2"/>
        <v>18-04408</v>
      </c>
      <c r="B68" s="9" t="s">
        <v>545</v>
      </c>
      <c r="C68" s="124">
        <v>8</v>
      </c>
      <c r="D68" s="124">
        <v>1</v>
      </c>
      <c r="E68" s="125">
        <v>397611.32</v>
      </c>
      <c r="F68" s="125">
        <v>18473.2</v>
      </c>
      <c r="G68" s="125">
        <v>0</v>
      </c>
      <c r="H68" s="125">
        <v>0</v>
      </c>
      <c r="I68" s="125">
        <v>0</v>
      </c>
      <c r="J68" s="125">
        <v>0</v>
      </c>
      <c r="K68" s="125">
        <v>0</v>
      </c>
    </row>
    <row r="69" spans="1:11" x14ac:dyDescent="0.2">
      <c r="A69" s="9" t="str">
        <f t="shared" si="2"/>
        <v>18-06108</v>
      </c>
      <c r="B69" s="9" t="s">
        <v>546</v>
      </c>
      <c r="C69" s="124">
        <v>8</v>
      </c>
      <c r="D69" s="124">
        <v>1</v>
      </c>
      <c r="E69" s="125">
        <v>762302.83</v>
      </c>
      <c r="F69" s="125">
        <v>9248.24</v>
      </c>
      <c r="G69" s="125">
        <v>0</v>
      </c>
      <c r="H69" s="125">
        <v>0</v>
      </c>
      <c r="I69" s="125">
        <v>0</v>
      </c>
      <c r="J69" s="125">
        <v>0</v>
      </c>
      <c r="K69" s="125">
        <v>0</v>
      </c>
    </row>
    <row r="70" spans="1:11" x14ac:dyDescent="0.2">
      <c r="A70" s="9" t="str">
        <f t="shared" si="2"/>
        <v>18-12508</v>
      </c>
      <c r="B70" s="9" t="s">
        <v>547</v>
      </c>
      <c r="C70" s="124">
        <v>8</v>
      </c>
      <c r="D70" s="124">
        <v>1</v>
      </c>
      <c r="E70" s="125">
        <v>228622.12</v>
      </c>
      <c r="F70" s="125">
        <v>6968.17</v>
      </c>
      <c r="G70" s="125">
        <v>2936.26</v>
      </c>
      <c r="H70" s="125">
        <v>0</v>
      </c>
      <c r="I70" s="125">
        <v>0</v>
      </c>
      <c r="J70" s="125">
        <v>0</v>
      </c>
      <c r="K70" s="125">
        <v>0</v>
      </c>
    </row>
    <row r="71" spans="1:11" x14ac:dyDescent="0.2">
      <c r="A71" s="9" t="str">
        <f t="shared" si="2"/>
        <v>18-12708</v>
      </c>
      <c r="B71" s="9" t="s">
        <v>548</v>
      </c>
      <c r="C71" s="124">
        <v>8</v>
      </c>
      <c r="D71" s="124">
        <v>1</v>
      </c>
      <c r="E71" s="125">
        <v>122071.59</v>
      </c>
      <c r="F71" s="125">
        <v>6700.61</v>
      </c>
      <c r="G71" s="125">
        <v>0</v>
      </c>
      <c r="H71" s="125">
        <v>0</v>
      </c>
      <c r="I71" s="125">
        <v>0</v>
      </c>
      <c r="J71" s="125">
        <v>0</v>
      </c>
      <c r="K71" s="125">
        <v>0</v>
      </c>
    </row>
    <row r="72" spans="1:11" x14ac:dyDescent="0.2">
      <c r="A72" s="9" t="str">
        <f t="shared" si="2"/>
        <v>18-12808</v>
      </c>
      <c r="B72" s="9" t="s">
        <v>549</v>
      </c>
      <c r="C72" s="124">
        <v>8</v>
      </c>
      <c r="D72" s="124">
        <v>1</v>
      </c>
      <c r="E72" s="125">
        <v>219517.15</v>
      </c>
      <c r="F72" s="125">
        <v>12168.12</v>
      </c>
      <c r="G72" s="125">
        <v>0</v>
      </c>
      <c r="H72" s="125">
        <v>0</v>
      </c>
      <c r="I72" s="125">
        <v>0</v>
      </c>
      <c r="J72" s="125">
        <v>0</v>
      </c>
      <c r="K72" s="125">
        <v>0</v>
      </c>
    </row>
    <row r="73" spans="1:11" x14ac:dyDescent="0.2">
      <c r="A73" s="9" t="str">
        <f t="shared" si="2"/>
        <v>18-12908</v>
      </c>
      <c r="B73" s="9" t="s">
        <v>550</v>
      </c>
      <c r="C73" s="124">
        <v>8</v>
      </c>
      <c r="D73" s="124">
        <v>1</v>
      </c>
      <c r="E73" s="125">
        <v>339014.71</v>
      </c>
      <c r="F73" s="125">
        <v>12901</v>
      </c>
      <c r="G73" s="125">
        <v>0</v>
      </c>
      <c r="H73" s="125">
        <v>0</v>
      </c>
      <c r="I73" s="125">
        <v>0</v>
      </c>
      <c r="J73" s="125">
        <v>0</v>
      </c>
      <c r="K73" s="125">
        <v>0</v>
      </c>
    </row>
    <row r="74" spans="1:11" x14ac:dyDescent="0.2">
      <c r="A74" s="9" t="str">
        <f t="shared" si="2"/>
        <v>18-14008</v>
      </c>
      <c r="B74" s="9" t="s">
        <v>551</v>
      </c>
      <c r="C74" s="124">
        <v>8</v>
      </c>
      <c r="D74" s="124">
        <v>1</v>
      </c>
      <c r="E74" s="125">
        <v>0</v>
      </c>
      <c r="F74" s="125">
        <v>0</v>
      </c>
      <c r="G74" s="125">
        <v>0</v>
      </c>
      <c r="H74" s="125">
        <v>0</v>
      </c>
      <c r="I74" s="125">
        <v>0</v>
      </c>
      <c r="J74" s="125">
        <v>0</v>
      </c>
      <c r="K74" s="125">
        <v>0</v>
      </c>
    </row>
    <row r="75" spans="1:11" x14ac:dyDescent="0.2">
      <c r="A75" s="9" t="str">
        <f t="shared" si="2"/>
        <v>18-37608</v>
      </c>
      <c r="B75" s="9" t="s">
        <v>854</v>
      </c>
      <c r="C75" s="124">
        <v>8</v>
      </c>
      <c r="D75" s="124">
        <v>1</v>
      </c>
      <c r="E75" s="125">
        <v>32223.41</v>
      </c>
      <c r="F75" s="125">
        <v>0</v>
      </c>
      <c r="G75" s="125">
        <v>0</v>
      </c>
      <c r="H75" s="125">
        <v>0</v>
      </c>
      <c r="I75" s="125">
        <v>0</v>
      </c>
      <c r="J75" s="125">
        <v>0</v>
      </c>
      <c r="K75" s="125">
        <v>0</v>
      </c>
    </row>
    <row r="76" spans="1:11" x14ac:dyDescent="0.2">
      <c r="A76" s="9" t="str">
        <f t="shared" si="2"/>
        <v>18-73308</v>
      </c>
      <c r="B76" s="9" t="s">
        <v>668</v>
      </c>
      <c r="C76" s="124">
        <v>8</v>
      </c>
      <c r="D76" s="124">
        <v>1</v>
      </c>
      <c r="E76" s="125">
        <v>0</v>
      </c>
      <c r="F76" s="125">
        <v>0</v>
      </c>
      <c r="G76" s="125">
        <v>0</v>
      </c>
      <c r="H76" s="125">
        <v>77799.149999999994</v>
      </c>
      <c r="I76" s="125">
        <v>0</v>
      </c>
      <c r="J76" s="125">
        <v>0</v>
      </c>
      <c r="K76" s="125">
        <v>0</v>
      </c>
    </row>
    <row r="77" spans="1:11" x14ac:dyDescent="0.2">
      <c r="A77" s="9" t="str">
        <f t="shared" si="2"/>
        <v>19-01808</v>
      </c>
      <c r="B77" s="9" t="s">
        <v>552</v>
      </c>
      <c r="C77" s="124">
        <v>8</v>
      </c>
      <c r="D77" s="124">
        <v>1</v>
      </c>
      <c r="E77" s="125">
        <v>99223.88</v>
      </c>
      <c r="F77" s="125">
        <v>10527.87</v>
      </c>
      <c r="G77" s="125">
        <v>0</v>
      </c>
      <c r="H77" s="125">
        <v>0</v>
      </c>
      <c r="I77" s="125">
        <v>0</v>
      </c>
      <c r="J77" s="125">
        <v>0</v>
      </c>
      <c r="K77" s="125">
        <v>0</v>
      </c>
    </row>
    <row r="78" spans="1:11" x14ac:dyDescent="0.2">
      <c r="A78" s="9" t="str">
        <f t="shared" si="2"/>
        <v>19-04908</v>
      </c>
      <c r="B78" s="9" t="s">
        <v>553</v>
      </c>
      <c r="C78" s="124">
        <v>8</v>
      </c>
      <c r="D78" s="124">
        <v>1</v>
      </c>
      <c r="E78" s="125">
        <v>193500.57</v>
      </c>
      <c r="F78" s="125">
        <v>19008.32</v>
      </c>
      <c r="G78" s="125">
        <v>0</v>
      </c>
      <c r="H78" s="125">
        <v>0</v>
      </c>
      <c r="I78" s="125">
        <v>0</v>
      </c>
      <c r="J78" s="125">
        <v>0</v>
      </c>
      <c r="K78" s="125">
        <v>0</v>
      </c>
    </row>
    <row r="79" spans="1:11" x14ac:dyDescent="0.2">
      <c r="A79" s="9" t="str">
        <f t="shared" si="2"/>
        <v>20-01808</v>
      </c>
      <c r="B79" s="9" t="s">
        <v>555</v>
      </c>
      <c r="C79" s="124">
        <v>8</v>
      </c>
      <c r="D79" s="124">
        <v>1</v>
      </c>
      <c r="E79" s="125">
        <v>278525.40999999997</v>
      </c>
      <c r="F79" s="125">
        <v>15064.74</v>
      </c>
      <c r="G79" s="125">
        <v>53.29</v>
      </c>
      <c r="H79" s="125">
        <v>0</v>
      </c>
      <c r="I79" s="125">
        <v>0</v>
      </c>
      <c r="J79" s="125">
        <v>0</v>
      </c>
      <c r="K79" s="125">
        <v>0</v>
      </c>
    </row>
    <row r="80" spans="1:11" x14ac:dyDescent="0.2">
      <c r="A80" s="9" t="str">
        <f t="shared" si="2"/>
        <v>21-00108</v>
      </c>
      <c r="B80" s="9" t="s">
        <v>556</v>
      </c>
      <c r="C80" s="124">
        <v>8</v>
      </c>
      <c r="D80" s="124">
        <v>1</v>
      </c>
      <c r="E80" s="125">
        <v>230112.71</v>
      </c>
      <c r="F80" s="125">
        <v>20753.27</v>
      </c>
      <c r="G80" s="125">
        <v>0</v>
      </c>
      <c r="H80" s="125">
        <v>0</v>
      </c>
      <c r="I80" s="125">
        <v>0</v>
      </c>
      <c r="J80" s="125">
        <v>0</v>
      </c>
      <c r="K80" s="125">
        <v>0</v>
      </c>
    </row>
    <row r="81" spans="1:11" x14ac:dyDescent="0.2">
      <c r="A81" s="9" t="str">
        <f t="shared" si="2"/>
        <v>21-00908</v>
      </c>
      <c r="B81" s="9" t="s">
        <v>557</v>
      </c>
      <c r="C81" s="124">
        <v>8</v>
      </c>
      <c r="D81" s="124">
        <v>1</v>
      </c>
      <c r="E81" s="125">
        <v>252680.66</v>
      </c>
      <c r="F81" s="125">
        <v>21160.43</v>
      </c>
      <c r="G81" s="125">
        <v>0</v>
      </c>
      <c r="H81" s="125">
        <v>0</v>
      </c>
      <c r="I81" s="125">
        <v>0</v>
      </c>
      <c r="J81" s="125">
        <v>0</v>
      </c>
      <c r="K81" s="125">
        <v>0</v>
      </c>
    </row>
    <row r="82" spans="1:11" x14ac:dyDescent="0.2">
      <c r="A82" s="9" t="str">
        <f t="shared" si="2"/>
        <v>21-70908</v>
      </c>
      <c r="B82" s="9" t="s">
        <v>669</v>
      </c>
      <c r="C82" s="124">
        <v>8</v>
      </c>
      <c r="D82" s="124">
        <v>1</v>
      </c>
      <c r="E82" s="125">
        <v>71593.97</v>
      </c>
      <c r="F82" s="125">
        <v>0</v>
      </c>
      <c r="G82" s="125">
        <v>0</v>
      </c>
      <c r="H82" s="125">
        <v>0</v>
      </c>
      <c r="I82" s="125">
        <v>0</v>
      </c>
      <c r="J82" s="125">
        <v>0</v>
      </c>
      <c r="K82" s="125">
        <v>0</v>
      </c>
    </row>
    <row r="83" spans="1:11" x14ac:dyDescent="0.2">
      <c r="A83" s="9" t="str">
        <f t="shared" si="2"/>
        <v>22-00108</v>
      </c>
      <c r="B83" s="9" t="s">
        <v>799</v>
      </c>
      <c r="C83" s="124">
        <v>8</v>
      </c>
      <c r="D83" s="124">
        <v>1</v>
      </c>
      <c r="E83" s="125">
        <v>340216.08</v>
      </c>
      <c r="F83" s="125">
        <v>38260.94</v>
      </c>
      <c r="G83" s="125">
        <v>0</v>
      </c>
      <c r="H83" s="125">
        <v>0</v>
      </c>
      <c r="I83" s="125">
        <v>0</v>
      </c>
      <c r="J83" s="125">
        <v>0</v>
      </c>
      <c r="K83" s="125">
        <v>0</v>
      </c>
    </row>
    <row r="84" spans="1:11" x14ac:dyDescent="0.2">
      <c r="A84" s="9" t="str">
        <f t="shared" si="2"/>
        <v>23-00308</v>
      </c>
      <c r="B84" s="9" t="s">
        <v>558</v>
      </c>
      <c r="C84" s="124">
        <v>8</v>
      </c>
      <c r="D84" s="124">
        <v>1</v>
      </c>
      <c r="E84" s="125">
        <v>293081.27</v>
      </c>
      <c r="F84" s="125">
        <v>13284.89</v>
      </c>
      <c r="G84" s="125">
        <v>0</v>
      </c>
      <c r="H84" s="125">
        <v>0</v>
      </c>
      <c r="I84" s="125">
        <v>0</v>
      </c>
      <c r="J84" s="125">
        <v>0</v>
      </c>
      <c r="K84" s="125">
        <v>0</v>
      </c>
    </row>
    <row r="85" spans="1:11" x14ac:dyDescent="0.2">
      <c r="A85" s="9" t="str">
        <f t="shared" si="2"/>
        <v>23-00708</v>
      </c>
      <c r="B85" s="9" t="s">
        <v>559</v>
      </c>
      <c r="C85" s="124">
        <v>8</v>
      </c>
      <c r="D85" s="124">
        <v>1</v>
      </c>
      <c r="E85" s="125">
        <v>140927.49</v>
      </c>
      <c r="F85" s="125">
        <v>11923.83</v>
      </c>
      <c r="G85" s="125">
        <v>0</v>
      </c>
      <c r="H85" s="125">
        <v>0</v>
      </c>
      <c r="I85" s="125">
        <v>0</v>
      </c>
      <c r="J85" s="125">
        <v>0</v>
      </c>
      <c r="K85" s="125">
        <v>0</v>
      </c>
    </row>
    <row r="86" spans="1:11" x14ac:dyDescent="0.2">
      <c r="A86" s="9" t="str">
        <f t="shared" si="2"/>
        <v>23-00808</v>
      </c>
      <c r="B86" s="9" t="s">
        <v>560</v>
      </c>
      <c r="C86" s="124">
        <v>8</v>
      </c>
      <c r="D86" s="124">
        <v>1</v>
      </c>
      <c r="E86" s="125">
        <v>301233.82</v>
      </c>
      <c r="F86" s="125">
        <v>14192.26</v>
      </c>
      <c r="G86" s="125">
        <v>0</v>
      </c>
      <c r="H86" s="125">
        <v>0</v>
      </c>
      <c r="I86" s="125">
        <v>0</v>
      </c>
      <c r="J86" s="125">
        <v>0</v>
      </c>
      <c r="K86" s="125">
        <v>0</v>
      </c>
    </row>
    <row r="87" spans="1:11" x14ac:dyDescent="0.2">
      <c r="A87" s="9" t="str">
        <f t="shared" si="2"/>
        <v>24-00208</v>
      </c>
      <c r="B87" s="9" t="s">
        <v>561</v>
      </c>
      <c r="C87" s="124">
        <v>8</v>
      </c>
      <c r="D87" s="124">
        <v>1</v>
      </c>
      <c r="E87" s="125">
        <v>306420.25</v>
      </c>
      <c r="F87" s="125">
        <v>17147.04</v>
      </c>
      <c r="G87" s="125">
        <v>0</v>
      </c>
      <c r="H87" s="125">
        <v>0</v>
      </c>
      <c r="I87" s="125">
        <v>0</v>
      </c>
      <c r="J87" s="125">
        <v>0</v>
      </c>
      <c r="K87" s="125">
        <v>0</v>
      </c>
    </row>
    <row r="88" spans="1:11" x14ac:dyDescent="0.2">
      <c r="A88" s="9" t="str">
        <f t="shared" si="2"/>
        <v>24-05608</v>
      </c>
      <c r="B88" s="9" t="s">
        <v>562</v>
      </c>
      <c r="C88" s="124">
        <v>8</v>
      </c>
      <c r="D88" s="124">
        <v>1</v>
      </c>
      <c r="E88" s="125">
        <v>149805.75</v>
      </c>
      <c r="F88" s="125">
        <v>12365.88</v>
      </c>
      <c r="G88" s="125">
        <v>0</v>
      </c>
      <c r="H88" s="125">
        <v>0</v>
      </c>
      <c r="I88" s="125">
        <v>0</v>
      </c>
      <c r="J88" s="125">
        <v>0</v>
      </c>
      <c r="K88" s="125">
        <v>0</v>
      </c>
    </row>
    <row r="89" spans="1:11" x14ac:dyDescent="0.2">
      <c r="A89" s="9" t="str">
        <f t="shared" si="2"/>
        <v>24-71808</v>
      </c>
      <c r="B89" s="9" t="s">
        <v>670</v>
      </c>
      <c r="C89" s="124">
        <v>8</v>
      </c>
      <c r="D89" s="124">
        <v>1</v>
      </c>
      <c r="E89" s="125">
        <v>0</v>
      </c>
      <c r="F89" s="125">
        <v>0</v>
      </c>
      <c r="G89" s="125">
        <v>0</v>
      </c>
      <c r="H89" s="125">
        <v>0</v>
      </c>
      <c r="I89" s="125">
        <v>0</v>
      </c>
      <c r="J89" s="125">
        <v>0</v>
      </c>
      <c r="K89" s="125">
        <v>0</v>
      </c>
    </row>
    <row r="90" spans="1:11" x14ac:dyDescent="0.2">
      <c r="A90" s="9" t="str">
        <f t="shared" si="2"/>
        <v>25-00108</v>
      </c>
      <c r="B90" s="9" t="s">
        <v>563</v>
      </c>
      <c r="C90" s="124">
        <v>8</v>
      </c>
      <c r="D90" s="124">
        <v>1</v>
      </c>
      <c r="E90" s="125">
        <v>421750.33</v>
      </c>
      <c r="F90" s="125">
        <v>15122.9</v>
      </c>
      <c r="G90" s="125">
        <v>0</v>
      </c>
      <c r="H90" s="125">
        <v>0</v>
      </c>
      <c r="I90" s="125">
        <v>0</v>
      </c>
      <c r="J90" s="125">
        <v>0</v>
      </c>
      <c r="K90" s="125">
        <v>0</v>
      </c>
    </row>
    <row r="91" spans="1:11" x14ac:dyDescent="0.2">
      <c r="A91" s="9" t="str">
        <f t="shared" si="2"/>
        <v>25-01408</v>
      </c>
      <c r="B91" s="9" t="s">
        <v>564</v>
      </c>
      <c r="C91" s="124">
        <v>8</v>
      </c>
      <c r="D91" s="124">
        <v>1</v>
      </c>
      <c r="E91" s="125">
        <v>115531.4</v>
      </c>
      <c r="F91" s="125">
        <v>10981.55</v>
      </c>
      <c r="G91" s="125">
        <v>0</v>
      </c>
      <c r="H91" s="125">
        <v>0</v>
      </c>
      <c r="I91" s="125">
        <v>0</v>
      </c>
      <c r="J91" s="125">
        <v>0</v>
      </c>
      <c r="K91" s="125">
        <v>0</v>
      </c>
    </row>
    <row r="92" spans="1:11" x14ac:dyDescent="0.2">
      <c r="A92" s="9" t="str">
        <f t="shared" si="2"/>
        <v>25-05708</v>
      </c>
      <c r="B92" s="9" t="s">
        <v>565</v>
      </c>
      <c r="C92" s="124">
        <v>8</v>
      </c>
      <c r="D92" s="124">
        <v>1</v>
      </c>
      <c r="E92" s="125">
        <v>95098.12</v>
      </c>
      <c r="F92" s="125">
        <v>11877.29</v>
      </c>
      <c r="G92" s="125">
        <v>0</v>
      </c>
      <c r="H92" s="125">
        <v>0</v>
      </c>
      <c r="I92" s="125">
        <v>0</v>
      </c>
      <c r="J92" s="125">
        <v>0</v>
      </c>
      <c r="K92" s="125">
        <v>0</v>
      </c>
    </row>
    <row r="93" spans="1:11" x14ac:dyDescent="0.2">
      <c r="A93" s="9" t="str">
        <f t="shared" si="2"/>
        <v>25-06008</v>
      </c>
      <c r="B93" s="9" t="s">
        <v>566</v>
      </c>
      <c r="C93" s="124">
        <v>8</v>
      </c>
      <c r="D93" s="124">
        <v>1</v>
      </c>
      <c r="E93" s="125">
        <v>459708.08</v>
      </c>
      <c r="F93" s="125">
        <v>33444.879999999997</v>
      </c>
      <c r="G93" s="125">
        <v>0</v>
      </c>
      <c r="H93" s="125">
        <v>0</v>
      </c>
      <c r="I93" s="125">
        <v>0</v>
      </c>
      <c r="J93" s="125">
        <v>0</v>
      </c>
      <c r="K93" s="125">
        <v>0</v>
      </c>
    </row>
    <row r="94" spans="1:11" x14ac:dyDescent="0.2">
      <c r="A94" s="9" t="str">
        <f t="shared" si="2"/>
        <v>26-00408</v>
      </c>
      <c r="B94" s="9" t="s">
        <v>567</v>
      </c>
      <c r="C94" s="124">
        <v>8</v>
      </c>
      <c r="D94" s="124">
        <v>1</v>
      </c>
      <c r="E94" s="125">
        <v>6264.99</v>
      </c>
      <c r="F94" s="125">
        <v>4048.28</v>
      </c>
      <c r="G94" s="125">
        <v>0</v>
      </c>
      <c r="H94" s="125">
        <v>0</v>
      </c>
      <c r="I94" s="125">
        <v>0</v>
      </c>
      <c r="J94" s="125">
        <v>0</v>
      </c>
      <c r="K94" s="125">
        <v>0</v>
      </c>
    </row>
    <row r="95" spans="1:11" x14ac:dyDescent="0.2">
      <c r="A95" s="9" t="str">
        <f t="shared" si="2"/>
        <v>26-00908</v>
      </c>
      <c r="B95" s="9" t="s">
        <v>568</v>
      </c>
      <c r="C95" s="124">
        <v>8</v>
      </c>
      <c r="D95" s="124">
        <v>1</v>
      </c>
      <c r="E95" s="125">
        <v>185240.16</v>
      </c>
      <c r="F95" s="125">
        <v>9818.25</v>
      </c>
      <c r="G95" s="125">
        <v>0</v>
      </c>
      <c r="H95" s="125">
        <v>0</v>
      </c>
      <c r="I95" s="125">
        <v>0</v>
      </c>
      <c r="J95" s="125">
        <v>0</v>
      </c>
      <c r="K95" s="125">
        <v>0</v>
      </c>
    </row>
    <row r="96" spans="1:11" x14ac:dyDescent="0.2">
      <c r="A96" s="9" t="str">
        <f t="shared" si="2"/>
        <v>26-01908</v>
      </c>
      <c r="B96" s="9" t="s">
        <v>569</v>
      </c>
      <c r="C96" s="124">
        <v>8</v>
      </c>
      <c r="D96" s="124">
        <v>1</v>
      </c>
      <c r="E96" s="125">
        <v>288563.99</v>
      </c>
      <c r="F96" s="125">
        <v>15564.95</v>
      </c>
      <c r="G96" s="125">
        <v>0</v>
      </c>
      <c r="H96" s="125">
        <v>0</v>
      </c>
      <c r="I96" s="125">
        <v>0</v>
      </c>
      <c r="J96" s="125">
        <v>0</v>
      </c>
      <c r="K96" s="125">
        <v>0</v>
      </c>
    </row>
    <row r="97" spans="1:11" x14ac:dyDescent="0.2">
      <c r="A97" s="9" t="str">
        <f t="shared" si="2"/>
        <v>27-00108</v>
      </c>
      <c r="B97" s="9" t="s">
        <v>570</v>
      </c>
      <c r="C97" s="124">
        <v>8</v>
      </c>
      <c r="D97" s="124">
        <v>1</v>
      </c>
      <c r="E97" s="125">
        <v>1081800.3700000001</v>
      </c>
      <c r="F97" s="125">
        <v>65691.55</v>
      </c>
      <c r="G97" s="125">
        <v>0</v>
      </c>
      <c r="H97" s="125">
        <v>0</v>
      </c>
      <c r="I97" s="125">
        <v>0</v>
      </c>
      <c r="J97" s="125">
        <v>0</v>
      </c>
      <c r="K97" s="125">
        <v>0</v>
      </c>
    </row>
    <row r="98" spans="1:11" x14ac:dyDescent="0.2">
      <c r="A98" s="9" t="str">
        <f t="shared" si="2"/>
        <v>27-00208</v>
      </c>
      <c r="B98" s="9" t="s">
        <v>571</v>
      </c>
      <c r="C98" s="124">
        <v>8</v>
      </c>
      <c r="D98" s="124">
        <v>1</v>
      </c>
      <c r="E98" s="125">
        <v>72387.240000000005</v>
      </c>
      <c r="F98" s="125">
        <v>12365.88</v>
      </c>
      <c r="G98" s="125">
        <v>0</v>
      </c>
      <c r="H98" s="125">
        <v>0</v>
      </c>
      <c r="I98" s="125">
        <v>0</v>
      </c>
      <c r="J98" s="125">
        <v>0</v>
      </c>
      <c r="K98" s="125">
        <v>0</v>
      </c>
    </row>
    <row r="99" spans="1:11" x14ac:dyDescent="0.2">
      <c r="A99" s="9" t="str">
        <f t="shared" ref="A99:A130" si="3">B99&amp;TEXT(C99,"00")</f>
        <v>27-01408</v>
      </c>
      <c r="B99" s="9" t="s">
        <v>572</v>
      </c>
      <c r="C99" s="124">
        <v>8</v>
      </c>
      <c r="D99" s="124">
        <v>1</v>
      </c>
      <c r="E99" s="125">
        <v>360279.4</v>
      </c>
      <c r="F99" s="125">
        <v>5269.75</v>
      </c>
      <c r="G99" s="125">
        <v>0</v>
      </c>
      <c r="H99" s="125">
        <v>0</v>
      </c>
      <c r="I99" s="125">
        <v>0</v>
      </c>
      <c r="J99" s="125">
        <v>0</v>
      </c>
      <c r="K99" s="125">
        <v>0</v>
      </c>
    </row>
    <row r="100" spans="1:11" x14ac:dyDescent="0.2">
      <c r="A100" s="9" t="str">
        <f t="shared" si="3"/>
        <v>27-01808</v>
      </c>
      <c r="B100" s="9" t="s">
        <v>573</v>
      </c>
      <c r="C100" s="124">
        <v>8</v>
      </c>
      <c r="D100" s="124">
        <v>1</v>
      </c>
      <c r="E100" s="125">
        <v>0</v>
      </c>
      <c r="F100" s="125">
        <v>0</v>
      </c>
      <c r="G100" s="125">
        <v>0</v>
      </c>
      <c r="H100" s="125">
        <v>0</v>
      </c>
      <c r="I100" s="125">
        <v>0</v>
      </c>
      <c r="J100" s="125">
        <v>0</v>
      </c>
      <c r="K100" s="125">
        <v>0</v>
      </c>
    </row>
    <row r="101" spans="1:11" x14ac:dyDescent="0.2">
      <c r="A101" s="9" t="str">
        <f t="shared" si="3"/>
        <v>27-03208</v>
      </c>
      <c r="B101" s="9" t="s">
        <v>574</v>
      </c>
      <c r="C101" s="124">
        <v>8</v>
      </c>
      <c r="D101" s="124">
        <v>1</v>
      </c>
      <c r="E101" s="125">
        <v>0</v>
      </c>
      <c r="F101" s="125">
        <v>1023.7</v>
      </c>
      <c r="G101" s="125">
        <v>0</v>
      </c>
      <c r="H101" s="125">
        <v>0</v>
      </c>
      <c r="I101" s="125">
        <v>0</v>
      </c>
      <c r="J101" s="125">
        <v>0</v>
      </c>
      <c r="K101" s="125">
        <v>0</v>
      </c>
    </row>
    <row r="102" spans="1:11" x14ac:dyDescent="0.2">
      <c r="A102" s="9" t="str">
        <f t="shared" si="3"/>
        <v>27-03608</v>
      </c>
      <c r="B102" s="9" t="s">
        <v>575</v>
      </c>
      <c r="C102" s="124">
        <v>8</v>
      </c>
      <c r="D102" s="124">
        <v>1</v>
      </c>
      <c r="E102" s="125">
        <v>235491.9</v>
      </c>
      <c r="F102" s="125">
        <v>7526.55</v>
      </c>
      <c r="G102" s="125">
        <v>0</v>
      </c>
      <c r="H102" s="125">
        <v>0</v>
      </c>
      <c r="I102" s="125">
        <v>0</v>
      </c>
      <c r="J102" s="125">
        <v>0</v>
      </c>
      <c r="K102" s="125">
        <v>0</v>
      </c>
    </row>
    <row r="103" spans="1:11" x14ac:dyDescent="0.2">
      <c r="A103" s="9" t="str">
        <f t="shared" si="3"/>
        <v>28-00108</v>
      </c>
      <c r="B103" s="9" t="s">
        <v>576</v>
      </c>
      <c r="C103" s="124">
        <v>8</v>
      </c>
      <c r="D103" s="124">
        <v>1</v>
      </c>
      <c r="E103" s="125">
        <v>297537.93</v>
      </c>
      <c r="F103" s="125">
        <v>11086.25</v>
      </c>
      <c r="G103" s="125">
        <v>0</v>
      </c>
      <c r="H103" s="125">
        <v>0</v>
      </c>
      <c r="I103" s="125">
        <v>0</v>
      </c>
      <c r="J103" s="125">
        <v>0</v>
      </c>
      <c r="K103" s="125">
        <v>0</v>
      </c>
    </row>
    <row r="104" spans="1:11" x14ac:dyDescent="0.2">
      <c r="A104" s="9" t="str">
        <f t="shared" si="3"/>
        <v>28-00408</v>
      </c>
      <c r="B104" s="9" t="s">
        <v>577</v>
      </c>
      <c r="C104" s="124">
        <v>8</v>
      </c>
      <c r="D104" s="124">
        <v>1</v>
      </c>
      <c r="E104" s="125">
        <v>382360.32000000001</v>
      </c>
      <c r="F104" s="125">
        <v>18798.93</v>
      </c>
      <c r="G104" s="125">
        <v>0</v>
      </c>
      <c r="H104" s="125">
        <v>0</v>
      </c>
      <c r="I104" s="125">
        <v>0</v>
      </c>
      <c r="J104" s="125">
        <v>0</v>
      </c>
      <c r="K104" s="125">
        <v>0</v>
      </c>
    </row>
    <row r="105" spans="1:11" x14ac:dyDescent="0.2">
      <c r="A105" s="9" t="str">
        <f t="shared" si="3"/>
        <v>28-00808</v>
      </c>
      <c r="B105" s="9" t="s">
        <v>578</v>
      </c>
      <c r="C105" s="124">
        <v>8</v>
      </c>
      <c r="D105" s="124">
        <v>1</v>
      </c>
      <c r="E105" s="125">
        <v>171881.16</v>
      </c>
      <c r="F105" s="125">
        <v>3571.33</v>
      </c>
      <c r="G105" s="125">
        <v>0</v>
      </c>
      <c r="H105" s="125">
        <v>0</v>
      </c>
      <c r="I105" s="125">
        <v>0</v>
      </c>
      <c r="J105" s="125">
        <v>0</v>
      </c>
      <c r="K105" s="125">
        <v>0</v>
      </c>
    </row>
    <row r="106" spans="1:11" x14ac:dyDescent="0.2">
      <c r="A106" s="9" t="str">
        <f t="shared" si="3"/>
        <v>28-05008</v>
      </c>
      <c r="B106" s="9" t="s">
        <v>579</v>
      </c>
      <c r="C106" s="124">
        <v>8</v>
      </c>
      <c r="D106" s="124">
        <v>1</v>
      </c>
      <c r="E106" s="125">
        <v>174636.11</v>
      </c>
      <c r="F106" s="125">
        <v>11365.44</v>
      </c>
      <c r="G106" s="125">
        <v>0</v>
      </c>
      <c r="H106" s="125">
        <v>0</v>
      </c>
      <c r="I106" s="125">
        <v>0</v>
      </c>
      <c r="J106" s="125">
        <v>0</v>
      </c>
      <c r="K106" s="125">
        <v>0</v>
      </c>
    </row>
    <row r="107" spans="1:11" x14ac:dyDescent="0.2">
      <c r="A107" s="9" t="str">
        <f t="shared" si="3"/>
        <v>28-05108</v>
      </c>
      <c r="B107" s="9" t="s">
        <v>580</v>
      </c>
      <c r="C107" s="124">
        <v>8</v>
      </c>
      <c r="D107" s="124">
        <v>1</v>
      </c>
      <c r="E107" s="125">
        <v>301214.62</v>
      </c>
      <c r="F107" s="125">
        <v>14366.76</v>
      </c>
      <c r="G107" s="125">
        <v>0</v>
      </c>
      <c r="H107" s="125">
        <v>0</v>
      </c>
      <c r="I107" s="125">
        <v>0</v>
      </c>
      <c r="J107" s="125">
        <v>0</v>
      </c>
      <c r="K107" s="125">
        <v>0</v>
      </c>
    </row>
    <row r="108" spans="1:11" x14ac:dyDescent="0.2">
      <c r="A108" s="9" t="str">
        <f t="shared" si="3"/>
        <v>28-07208</v>
      </c>
      <c r="B108" s="9" t="s">
        <v>581</v>
      </c>
      <c r="C108" s="124">
        <v>8</v>
      </c>
      <c r="D108" s="124">
        <v>1</v>
      </c>
      <c r="E108" s="125">
        <v>181574.25</v>
      </c>
      <c r="F108" s="125">
        <v>14762.28</v>
      </c>
      <c r="G108" s="125">
        <v>0</v>
      </c>
      <c r="H108" s="125">
        <v>0</v>
      </c>
      <c r="I108" s="125">
        <v>0</v>
      </c>
      <c r="J108" s="125">
        <v>0</v>
      </c>
      <c r="K108" s="125">
        <v>0</v>
      </c>
    </row>
    <row r="109" spans="1:11" x14ac:dyDescent="0.2">
      <c r="A109" s="9" t="str">
        <f t="shared" si="3"/>
        <v>28-08508</v>
      </c>
      <c r="B109" s="9" t="s">
        <v>582</v>
      </c>
      <c r="C109" s="124">
        <v>8</v>
      </c>
      <c r="D109" s="124">
        <v>1</v>
      </c>
      <c r="E109" s="125">
        <v>297181.90999999997</v>
      </c>
      <c r="F109" s="125">
        <v>0</v>
      </c>
      <c r="G109" s="125">
        <v>0</v>
      </c>
      <c r="H109" s="125">
        <v>0</v>
      </c>
      <c r="I109" s="125">
        <v>0</v>
      </c>
      <c r="J109" s="125">
        <v>0</v>
      </c>
      <c r="K109" s="125">
        <v>0</v>
      </c>
    </row>
    <row r="110" spans="1:11" x14ac:dyDescent="0.2">
      <c r="A110" s="9" t="str">
        <f t="shared" si="3"/>
        <v>29-00308</v>
      </c>
      <c r="B110" s="9" t="s">
        <v>583</v>
      </c>
      <c r="C110" s="124">
        <v>8</v>
      </c>
      <c r="D110" s="124">
        <v>1</v>
      </c>
      <c r="E110" s="125">
        <v>523684.06</v>
      </c>
      <c r="F110" s="125">
        <v>12051.79</v>
      </c>
      <c r="G110" s="125">
        <v>0</v>
      </c>
      <c r="H110" s="125">
        <v>0</v>
      </c>
      <c r="I110" s="125">
        <v>0</v>
      </c>
      <c r="J110" s="125">
        <v>0</v>
      </c>
      <c r="K110" s="125">
        <v>0</v>
      </c>
    </row>
    <row r="111" spans="1:11" x14ac:dyDescent="0.2">
      <c r="A111" s="9" t="str">
        <f t="shared" si="3"/>
        <v>29-02708</v>
      </c>
      <c r="B111" s="9" t="s">
        <v>584</v>
      </c>
      <c r="C111" s="124">
        <v>8</v>
      </c>
      <c r="D111" s="124">
        <v>1</v>
      </c>
      <c r="E111" s="125">
        <v>576775.88</v>
      </c>
      <c r="F111" s="125">
        <v>21381.45</v>
      </c>
      <c r="G111" s="125">
        <v>0</v>
      </c>
      <c r="H111" s="125">
        <v>0</v>
      </c>
      <c r="I111" s="125">
        <v>0</v>
      </c>
      <c r="J111" s="125">
        <v>0</v>
      </c>
      <c r="K111" s="125">
        <v>0</v>
      </c>
    </row>
    <row r="112" spans="1:11" x14ac:dyDescent="0.2">
      <c r="A112" s="9" t="str">
        <f t="shared" si="3"/>
        <v>29-71508</v>
      </c>
      <c r="B112" s="9" t="s">
        <v>671</v>
      </c>
      <c r="C112" s="124">
        <v>8</v>
      </c>
      <c r="D112" s="124">
        <v>1</v>
      </c>
      <c r="E112" s="125">
        <v>160072.29</v>
      </c>
      <c r="F112" s="125">
        <v>0</v>
      </c>
      <c r="G112" s="125">
        <v>0</v>
      </c>
      <c r="H112" s="125">
        <v>0</v>
      </c>
      <c r="I112" s="125">
        <v>0</v>
      </c>
      <c r="J112" s="125">
        <v>0</v>
      </c>
      <c r="K112" s="125">
        <v>0</v>
      </c>
    </row>
    <row r="113" spans="1:11" x14ac:dyDescent="0.2">
      <c r="A113" s="9" t="str">
        <f t="shared" si="3"/>
        <v>30-00108</v>
      </c>
      <c r="B113" s="9" t="s">
        <v>585</v>
      </c>
      <c r="C113" s="124">
        <v>8</v>
      </c>
      <c r="D113" s="124">
        <v>1</v>
      </c>
      <c r="E113" s="125">
        <v>4596151.83</v>
      </c>
      <c r="F113" s="125">
        <v>51778.48</v>
      </c>
      <c r="G113" s="125">
        <v>0</v>
      </c>
      <c r="H113" s="125">
        <v>0</v>
      </c>
      <c r="I113" s="125">
        <v>0</v>
      </c>
      <c r="J113" s="125">
        <v>0</v>
      </c>
      <c r="K113" s="125">
        <v>0</v>
      </c>
    </row>
    <row r="114" spans="1:11" x14ac:dyDescent="0.2">
      <c r="A114" s="9" t="str">
        <f t="shared" si="3"/>
        <v>30-00408</v>
      </c>
      <c r="B114" s="9" t="s">
        <v>586</v>
      </c>
      <c r="C114" s="124">
        <v>8</v>
      </c>
      <c r="D114" s="124">
        <v>1</v>
      </c>
      <c r="E114" s="125">
        <v>23862.62</v>
      </c>
      <c r="F114" s="125">
        <v>697.98</v>
      </c>
      <c r="G114" s="125">
        <v>0</v>
      </c>
      <c r="H114" s="125">
        <v>0</v>
      </c>
      <c r="I114" s="125">
        <v>0</v>
      </c>
      <c r="J114" s="125">
        <v>0</v>
      </c>
      <c r="K114" s="125">
        <v>0</v>
      </c>
    </row>
    <row r="115" spans="1:11" x14ac:dyDescent="0.2">
      <c r="A115" s="9" t="str">
        <f t="shared" si="3"/>
        <v>30-01308</v>
      </c>
      <c r="B115" s="9" t="s">
        <v>587</v>
      </c>
      <c r="C115" s="124">
        <v>8</v>
      </c>
      <c r="D115" s="124">
        <v>1</v>
      </c>
      <c r="E115" s="125">
        <v>212164.02</v>
      </c>
      <c r="F115" s="125">
        <v>7456.75</v>
      </c>
      <c r="G115" s="125">
        <v>0</v>
      </c>
      <c r="H115" s="125">
        <v>0</v>
      </c>
      <c r="I115" s="125">
        <v>0</v>
      </c>
      <c r="J115" s="125">
        <v>0</v>
      </c>
      <c r="K115" s="125">
        <v>0</v>
      </c>
    </row>
    <row r="116" spans="1:11" x14ac:dyDescent="0.2">
      <c r="A116" s="9" t="str">
        <f t="shared" si="3"/>
        <v>30-01708</v>
      </c>
      <c r="B116" s="9" t="s">
        <v>588</v>
      </c>
      <c r="C116" s="124">
        <v>8</v>
      </c>
      <c r="D116" s="124">
        <v>1</v>
      </c>
      <c r="E116" s="125">
        <v>50543.51</v>
      </c>
      <c r="F116" s="125">
        <v>395.14</v>
      </c>
      <c r="G116" s="125">
        <v>0</v>
      </c>
      <c r="H116" s="125">
        <v>0</v>
      </c>
      <c r="I116" s="125">
        <v>0</v>
      </c>
      <c r="J116" s="125">
        <v>0</v>
      </c>
      <c r="K116" s="125">
        <v>0</v>
      </c>
    </row>
    <row r="117" spans="1:11" x14ac:dyDescent="0.2">
      <c r="A117" s="9" t="str">
        <f t="shared" si="3"/>
        <v>30-03908</v>
      </c>
      <c r="B117" s="9" t="s">
        <v>589</v>
      </c>
      <c r="C117" s="124">
        <v>8</v>
      </c>
      <c r="D117" s="124">
        <v>1</v>
      </c>
      <c r="E117" s="125">
        <v>302075.08</v>
      </c>
      <c r="F117" s="125">
        <v>29175.56</v>
      </c>
      <c r="G117" s="125">
        <v>0</v>
      </c>
      <c r="H117" s="125">
        <v>0</v>
      </c>
      <c r="I117" s="125">
        <v>0</v>
      </c>
      <c r="J117" s="125">
        <v>0</v>
      </c>
      <c r="K117" s="125">
        <v>0</v>
      </c>
    </row>
    <row r="118" spans="1:11" x14ac:dyDescent="0.2">
      <c r="A118" s="9" t="str">
        <f t="shared" si="3"/>
        <v>30-04808</v>
      </c>
      <c r="B118" s="9" t="s">
        <v>590</v>
      </c>
      <c r="C118" s="124">
        <v>8</v>
      </c>
      <c r="D118" s="124">
        <v>1</v>
      </c>
      <c r="E118" s="125">
        <v>133257.44</v>
      </c>
      <c r="F118" s="125">
        <v>7318.44</v>
      </c>
      <c r="G118" s="125">
        <v>0</v>
      </c>
      <c r="H118" s="125">
        <v>0</v>
      </c>
      <c r="I118" s="125">
        <v>0</v>
      </c>
      <c r="J118" s="125">
        <v>0</v>
      </c>
      <c r="K118" s="125">
        <v>0</v>
      </c>
    </row>
    <row r="119" spans="1:11" x14ac:dyDescent="0.2">
      <c r="A119" s="9" t="str">
        <f t="shared" si="3"/>
        <v>30-04908</v>
      </c>
      <c r="B119" s="9" t="s">
        <v>838</v>
      </c>
      <c r="C119" s="124">
        <v>8</v>
      </c>
      <c r="D119" s="124">
        <v>1</v>
      </c>
      <c r="E119" s="125">
        <v>354143.77</v>
      </c>
      <c r="F119" s="125">
        <v>31025.21</v>
      </c>
      <c r="G119" s="125">
        <v>0</v>
      </c>
      <c r="H119" s="125">
        <v>0</v>
      </c>
      <c r="I119" s="125">
        <v>0</v>
      </c>
      <c r="J119" s="125">
        <v>0</v>
      </c>
      <c r="K119" s="125">
        <v>0</v>
      </c>
    </row>
    <row r="120" spans="1:11" x14ac:dyDescent="0.2">
      <c r="A120" s="9" t="str">
        <f t="shared" si="3"/>
        <v>30-72508</v>
      </c>
      <c r="B120" s="9" t="s">
        <v>672</v>
      </c>
      <c r="C120" s="124">
        <v>8</v>
      </c>
      <c r="D120" s="124">
        <v>1</v>
      </c>
      <c r="E120" s="125">
        <v>0</v>
      </c>
      <c r="F120" s="125">
        <v>0</v>
      </c>
      <c r="G120" s="125">
        <v>0</v>
      </c>
      <c r="H120" s="125">
        <v>0</v>
      </c>
      <c r="I120" s="125">
        <v>0</v>
      </c>
      <c r="J120" s="125">
        <v>0</v>
      </c>
      <c r="K120" s="125">
        <v>0</v>
      </c>
    </row>
    <row r="121" spans="1:11" x14ac:dyDescent="0.2">
      <c r="A121" s="9" t="str">
        <f t="shared" si="3"/>
        <v>31-00108</v>
      </c>
      <c r="B121" s="9" t="s">
        <v>591</v>
      </c>
      <c r="C121" s="124">
        <v>8</v>
      </c>
      <c r="D121" s="124">
        <v>1</v>
      </c>
      <c r="E121" s="125">
        <v>0</v>
      </c>
      <c r="F121" s="125">
        <v>46427.3</v>
      </c>
      <c r="G121" s="125">
        <v>0</v>
      </c>
      <c r="H121" s="125">
        <v>0</v>
      </c>
      <c r="I121" s="125">
        <v>0</v>
      </c>
      <c r="J121" s="125">
        <v>0</v>
      </c>
      <c r="K121" s="125">
        <v>0</v>
      </c>
    </row>
    <row r="122" spans="1:11" x14ac:dyDescent="0.2">
      <c r="A122" s="9" t="str">
        <f t="shared" si="3"/>
        <v>31-00208</v>
      </c>
      <c r="B122" s="9" t="s">
        <v>592</v>
      </c>
      <c r="C122" s="124">
        <v>8</v>
      </c>
      <c r="D122" s="124">
        <v>1</v>
      </c>
      <c r="E122" s="125">
        <v>476928.25</v>
      </c>
      <c r="F122" s="125">
        <v>24510.73</v>
      </c>
      <c r="G122" s="125">
        <v>0</v>
      </c>
      <c r="H122" s="125">
        <v>0</v>
      </c>
      <c r="I122" s="125">
        <v>0</v>
      </c>
      <c r="J122" s="125">
        <v>0</v>
      </c>
      <c r="K122" s="125">
        <v>0</v>
      </c>
    </row>
    <row r="123" spans="1:11" x14ac:dyDescent="0.2">
      <c r="A123" s="9" t="str">
        <f t="shared" si="3"/>
        <v>31-00308</v>
      </c>
      <c r="B123" s="9" t="s">
        <v>593</v>
      </c>
      <c r="C123" s="124">
        <v>8</v>
      </c>
      <c r="D123" s="124">
        <v>1</v>
      </c>
      <c r="E123" s="125">
        <v>230181.61</v>
      </c>
      <c r="F123" s="125">
        <v>22375.83</v>
      </c>
      <c r="G123" s="125">
        <v>0</v>
      </c>
      <c r="H123" s="125">
        <v>0</v>
      </c>
      <c r="I123" s="125">
        <v>0</v>
      </c>
      <c r="J123" s="125">
        <v>0</v>
      </c>
      <c r="K123" s="125">
        <v>0</v>
      </c>
    </row>
    <row r="124" spans="1:11" x14ac:dyDescent="0.2">
      <c r="A124" s="9" t="str">
        <f t="shared" si="3"/>
        <v>31-70608</v>
      </c>
      <c r="B124" s="9" t="s">
        <v>673</v>
      </c>
      <c r="C124" s="124">
        <v>8</v>
      </c>
      <c r="D124" s="124">
        <v>1</v>
      </c>
      <c r="E124" s="125">
        <v>0</v>
      </c>
      <c r="F124" s="125">
        <v>0</v>
      </c>
      <c r="G124" s="125">
        <v>0</v>
      </c>
      <c r="H124" s="125">
        <v>0</v>
      </c>
      <c r="I124" s="125">
        <v>0</v>
      </c>
      <c r="J124" s="125">
        <v>0</v>
      </c>
      <c r="K124" s="125">
        <v>0</v>
      </c>
    </row>
    <row r="125" spans="1:11" x14ac:dyDescent="0.2">
      <c r="A125" s="9" t="str">
        <f t="shared" si="3"/>
        <v>32-00108</v>
      </c>
      <c r="B125" s="9" t="s">
        <v>594</v>
      </c>
      <c r="C125" s="124">
        <v>8</v>
      </c>
      <c r="D125" s="124">
        <v>1</v>
      </c>
      <c r="E125" s="125">
        <v>320995.69</v>
      </c>
      <c r="F125" s="125">
        <v>35317.79</v>
      </c>
      <c r="G125" s="125">
        <v>9665.2099999999991</v>
      </c>
      <c r="H125" s="125">
        <v>0</v>
      </c>
      <c r="I125" s="125">
        <v>0</v>
      </c>
      <c r="J125" s="125">
        <v>0</v>
      </c>
      <c r="K125" s="125">
        <v>0</v>
      </c>
    </row>
    <row r="126" spans="1:11" x14ac:dyDescent="0.2">
      <c r="A126" s="9" t="str">
        <f t="shared" si="3"/>
        <v>32-06608</v>
      </c>
      <c r="B126" s="9" t="s">
        <v>595</v>
      </c>
      <c r="C126" s="124">
        <v>8</v>
      </c>
      <c r="D126" s="124">
        <v>1</v>
      </c>
      <c r="E126" s="125">
        <v>189645.75</v>
      </c>
      <c r="F126" s="125">
        <v>12714.87</v>
      </c>
      <c r="G126" s="125">
        <v>0</v>
      </c>
      <c r="H126" s="125">
        <v>0</v>
      </c>
      <c r="I126" s="125">
        <v>0</v>
      </c>
      <c r="J126" s="125">
        <v>0</v>
      </c>
      <c r="K126" s="125">
        <v>0</v>
      </c>
    </row>
    <row r="127" spans="1:11" x14ac:dyDescent="0.2">
      <c r="A127" s="9" t="str">
        <f t="shared" si="3"/>
        <v>33-00108</v>
      </c>
      <c r="B127" s="9" t="s">
        <v>596</v>
      </c>
      <c r="C127" s="124">
        <v>8</v>
      </c>
      <c r="D127" s="124">
        <v>1</v>
      </c>
      <c r="E127" s="125">
        <v>241380.88</v>
      </c>
      <c r="F127" s="125">
        <v>16844.580000000002</v>
      </c>
      <c r="G127" s="125">
        <v>0</v>
      </c>
      <c r="H127" s="125">
        <v>0</v>
      </c>
      <c r="I127" s="125">
        <v>0</v>
      </c>
      <c r="J127" s="125">
        <v>0</v>
      </c>
      <c r="K127" s="125">
        <v>0</v>
      </c>
    </row>
    <row r="128" spans="1:11" x14ac:dyDescent="0.2">
      <c r="A128" s="9" t="str">
        <f t="shared" si="3"/>
        <v>34-00608</v>
      </c>
      <c r="B128" s="9" t="s">
        <v>597</v>
      </c>
      <c r="C128" s="124">
        <v>8</v>
      </c>
      <c r="D128" s="124">
        <v>1</v>
      </c>
      <c r="E128" s="125">
        <v>388644.09</v>
      </c>
      <c r="F128" s="125">
        <v>12226.28</v>
      </c>
      <c r="G128" s="125">
        <v>0</v>
      </c>
      <c r="H128" s="125">
        <v>0</v>
      </c>
      <c r="I128" s="125">
        <v>0</v>
      </c>
      <c r="J128" s="125">
        <v>0</v>
      </c>
      <c r="K128" s="125">
        <v>0</v>
      </c>
    </row>
    <row r="129" spans="1:11" x14ac:dyDescent="0.2">
      <c r="A129" s="9" t="str">
        <f t="shared" si="3"/>
        <v>34-01908</v>
      </c>
      <c r="B129" s="9" t="s">
        <v>598</v>
      </c>
      <c r="C129" s="124">
        <v>8</v>
      </c>
      <c r="D129" s="124">
        <v>1</v>
      </c>
      <c r="E129" s="125">
        <v>212585.15</v>
      </c>
      <c r="F129" s="125">
        <v>5897.93</v>
      </c>
      <c r="G129" s="125">
        <v>0</v>
      </c>
      <c r="H129" s="125">
        <v>0</v>
      </c>
      <c r="I129" s="125">
        <v>0</v>
      </c>
      <c r="J129" s="125">
        <v>0</v>
      </c>
      <c r="K129" s="125">
        <v>0</v>
      </c>
    </row>
    <row r="130" spans="1:11" x14ac:dyDescent="0.2">
      <c r="A130" s="9" t="str">
        <f t="shared" si="3"/>
        <v>34-10008</v>
      </c>
      <c r="B130" s="9" t="s">
        <v>599</v>
      </c>
      <c r="C130" s="124">
        <v>8</v>
      </c>
      <c r="D130" s="124">
        <v>1</v>
      </c>
      <c r="E130" s="125">
        <v>338720.02</v>
      </c>
      <c r="F130" s="125">
        <v>12622.36</v>
      </c>
      <c r="G130" s="125">
        <v>0</v>
      </c>
      <c r="H130" s="125">
        <v>0</v>
      </c>
      <c r="I130" s="125">
        <v>0</v>
      </c>
      <c r="J130" s="125">
        <v>0</v>
      </c>
      <c r="K130" s="125">
        <v>0</v>
      </c>
    </row>
    <row r="131" spans="1:11" x14ac:dyDescent="0.2">
      <c r="A131" s="9" t="str">
        <f t="shared" ref="A131:A134" si="4">B131&amp;TEXT(C131,"00")</f>
        <v>34-11808</v>
      </c>
      <c r="B131" s="9" t="s">
        <v>916</v>
      </c>
      <c r="C131" s="124">
        <v>8</v>
      </c>
      <c r="D131" s="124">
        <v>1</v>
      </c>
      <c r="E131" s="125">
        <v>220047.49</v>
      </c>
      <c r="F131" s="125">
        <v>20322.849999999999</v>
      </c>
      <c r="G131" s="125">
        <v>0</v>
      </c>
      <c r="H131" s="125">
        <v>0</v>
      </c>
      <c r="I131" s="125">
        <v>0</v>
      </c>
      <c r="J131" s="125">
        <v>0</v>
      </c>
      <c r="K131" s="125">
        <v>0</v>
      </c>
    </row>
    <row r="132" spans="1:11" x14ac:dyDescent="0.2">
      <c r="A132" s="9" t="str">
        <f t="shared" si="4"/>
        <v>34-70308</v>
      </c>
      <c r="B132" s="9" t="s">
        <v>1147</v>
      </c>
      <c r="C132" s="124">
        <v>8</v>
      </c>
      <c r="D132" s="124">
        <v>1</v>
      </c>
      <c r="E132" s="125">
        <v>0</v>
      </c>
      <c r="F132" s="125">
        <v>0</v>
      </c>
      <c r="G132" s="125">
        <v>0</v>
      </c>
      <c r="H132" s="125">
        <v>0</v>
      </c>
      <c r="I132" s="125">
        <v>0</v>
      </c>
      <c r="J132" s="125">
        <v>0</v>
      </c>
      <c r="K132" s="125">
        <v>0</v>
      </c>
    </row>
    <row r="133" spans="1:11" x14ac:dyDescent="0.2">
      <c r="A133" s="9" t="str">
        <f t="shared" si="4"/>
        <v>35-00508</v>
      </c>
      <c r="B133" s="9" t="s">
        <v>600</v>
      </c>
      <c r="C133" s="124">
        <v>8</v>
      </c>
      <c r="D133" s="124">
        <v>1</v>
      </c>
      <c r="E133" s="125">
        <v>532194.97</v>
      </c>
      <c r="F133" s="125">
        <v>29745.58</v>
      </c>
      <c r="G133" s="125">
        <v>0</v>
      </c>
      <c r="H133" s="125">
        <v>0</v>
      </c>
      <c r="I133" s="125">
        <v>0</v>
      </c>
      <c r="J133" s="125">
        <v>0</v>
      </c>
      <c r="K133" s="125">
        <v>0</v>
      </c>
    </row>
    <row r="134" spans="1:11" x14ac:dyDescent="0.2">
      <c r="A134" s="9" t="str">
        <f t="shared" si="4"/>
        <v>36-00108</v>
      </c>
      <c r="B134" s="9" t="s">
        <v>601</v>
      </c>
      <c r="C134" s="124">
        <v>8</v>
      </c>
      <c r="D134" s="124">
        <v>1</v>
      </c>
      <c r="E134" s="125">
        <v>1826952.8</v>
      </c>
      <c r="F134" s="125">
        <v>49440.25</v>
      </c>
      <c r="G134" s="125">
        <v>17.760000000000002</v>
      </c>
      <c r="H134" s="125">
        <v>0</v>
      </c>
      <c r="I134" s="125">
        <v>0</v>
      </c>
      <c r="J134" s="125">
        <v>0</v>
      </c>
      <c r="K134" s="125">
        <v>0</v>
      </c>
    </row>
    <row r="135" spans="1:11" x14ac:dyDescent="0.2">
      <c r="A135" s="9" t="str">
        <f t="shared" ref="A135" si="5">B135&amp;TEXT(C135,"00")</f>
        <v>36-00208</v>
      </c>
      <c r="B135" s="9" t="s">
        <v>602</v>
      </c>
      <c r="C135" s="124">
        <v>8</v>
      </c>
      <c r="D135" s="124">
        <v>1</v>
      </c>
      <c r="E135" s="125">
        <v>0</v>
      </c>
      <c r="F135" s="125">
        <v>4755.2299999999996</v>
      </c>
      <c r="G135" s="125">
        <v>0</v>
      </c>
      <c r="H135" s="125">
        <v>0</v>
      </c>
      <c r="I135" s="125">
        <v>0</v>
      </c>
      <c r="J135" s="125">
        <v>0</v>
      </c>
      <c r="K135" s="125">
        <v>0</v>
      </c>
    </row>
    <row r="136" spans="1:11" x14ac:dyDescent="0.2">
      <c r="A136" s="9" t="str">
        <f t="shared" ref="A136:A167" si="6">B136&amp;TEXT(C136,"00")</f>
        <v>36-04408</v>
      </c>
      <c r="B136" s="9" t="s">
        <v>603</v>
      </c>
      <c r="C136" s="124">
        <v>8</v>
      </c>
      <c r="D136" s="124">
        <v>1</v>
      </c>
      <c r="E136" s="125">
        <v>99357.93</v>
      </c>
      <c r="F136" s="125">
        <v>4653.2</v>
      </c>
      <c r="G136" s="125">
        <v>0</v>
      </c>
      <c r="H136" s="125">
        <v>0</v>
      </c>
      <c r="I136" s="125">
        <v>0</v>
      </c>
      <c r="J136" s="125">
        <v>0</v>
      </c>
      <c r="K136" s="125">
        <v>0</v>
      </c>
    </row>
    <row r="137" spans="1:11" x14ac:dyDescent="0.2">
      <c r="A137" s="9" t="str">
        <f t="shared" si="6"/>
        <v>36-37008</v>
      </c>
      <c r="B137" s="9" t="s">
        <v>849</v>
      </c>
      <c r="C137" s="124">
        <v>8</v>
      </c>
      <c r="D137" s="124">
        <v>1</v>
      </c>
      <c r="E137" s="125">
        <v>11900.56</v>
      </c>
      <c r="F137" s="125">
        <v>0</v>
      </c>
      <c r="G137" s="125">
        <v>0</v>
      </c>
      <c r="H137" s="125">
        <v>0</v>
      </c>
      <c r="I137" s="125">
        <v>0</v>
      </c>
      <c r="J137" s="125">
        <v>0</v>
      </c>
      <c r="K137" s="125">
        <v>0</v>
      </c>
    </row>
    <row r="138" spans="1:11" x14ac:dyDescent="0.2">
      <c r="A138" s="9" t="str">
        <f t="shared" si="6"/>
        <v>36-71408</v>
      </c>
      <c r="B138" s="9" t="s">
        <v>675</v>
      </c>
      <c r="C138" s="124">
        <v>8</v>
      </c>
      <c r="D138" s="124">
        <v>1</v>
      </c>
      <c r="E138" s="125">
        <v>432704.23</v>
      </c>
      <c r="F138" s="125">
        <v>1093.5</v>
      </c>
      <c r="G138" s="125">
        <v>0</v>
      </c>
      <c r="H138" s="125">
        <v>124229.03</v>
      </c>
      <c r="I138" s="125">
        <v>20222.2</v>
      </c>
      <c r="J138" s="125">
        <v>0</v>
      </c>
      <c r="K138" s="125">
        <v>0</v>
      </c>
    </row>
    <row r="139" spans="1:11" x14ac:dyDescent="0.2">
      <c r="A139" s="9" t="str">
        <f t="shared" si="6"/>
        <v>37-00608</v>
      </c>
      <c r="B139" s="9" t="s">
        <v>604</v>
      </c>
      <c r="C139" s="124">
        <v>8</v>
      </c>
      <c r="D139" s="124">
        <v>1</v>
      </c>
      <c r="E139" s="125">
        <v>0</v>
      </c>
      <c r="F139" s="125">
        <v>2582.5300000000002</v>
      </c>
      <c r="G139" s="125">
        <v>0</v>
      </c>
      <c r="H139" s="125">
        <v>0</v>
      </c>
      <c r="I139" s="125">
        <v>0</v>
      </c>
      <c r="J139" s="125">
        <v>0</v>
      </c>
      <c r="K139" s="125">
        <v>0</v>
      </c>
    </row>
    <row r="140" spans="1:11" x14ac:dyDescent="0.2">
      <c r="A140" s="9" t="str">
        <f t="shared" si="6"/>
        <v>37-01908</v>
      </c>
      <c r="B140" s="9" t="s">
        <v>605</v>
      </c>
      <c r="C140" s="124">
        <v>8</v>
      </c>
      <c r="D140" s="124">
        <v>1</v>
      </c>
      <c r="E140" s="125">
        <v>632466.06000000006</v>
      </c>
      <c r="F140" s="125">
        <v>15146.17</v>
      </c>
      <c r="G140" s="125">
        <v>0</v>
      </c>
      <c r="H140" s="125">
        <v>0</v>
      </c>
      <c r="I140" s="125">
        <v>0</v>
      </c>
      <c r="J140" s="125">
        <v>0</v>
      </c>
      <c r="K140" s="125">
        <v>0</v>
      </c>
    </row>
    <row r="141" spans="1:11" x14ac:dyDescent="0.2">
      <c r="A141" s="9" t="str">
        <f t="shared" si="6"/>
        <v>37-02408</v>
      </c>
      <c r="B141" s="9" t="s">
        <v>606</v>
      </c>
      <c r="C141" s="124">
        <v>8</v>
      </c>
      <c r="D141" s="124">
        <v>1</v>
      </c>
      <c r="E141" s="125">
        <v>329112.01</v>
      </c>
      <c r="F141" s="125">
        <v>15006.57</v>
      </c>
      <c r="G141" s="125">
        <v>0</v>
      </c>
      <c r="H141" s="125">
        <v>0</v>
      </c>
      <c r="I141" s="125">
        <v>0</v>
      </c>
      <c r="J141" s="125">
        <v>0</v>
      </c>
      <c r="K141" s="125">
        <v>0</v>
      </c>
    </row>
    <row r="142" spans="1:11" x14ac:dyDescent="0.2">
      <c r="A142" s="9" t="str">
        <f t="shared" si="6"/>
        <v>38-00108</v>
      </c>
      <c r="B142" s="9" t="s">
        <v>607</v>
      </c>
      <c r="C142" s="124">
        <v>8</v>
      </c>
      <c r="D142" s="124">
        <v>1</v>
      </c>
      <c r="E142" s="125">
        <v>234548.59</v>
      </c>
      <c r="F142" s="125">
        <v>18543</v>
      </c>
      <c r="G142" s="125">
        <v>0</v>
      </c>
      <c r="H142" s="125">
        <v>0</v>
      </c>
      <c r="I142" s="125">
        <v>0</v>
      </c>
      <c r="J142" s="125">
        <v>0</v>
      </c>
      <c r="K142" s="125">
        <v>0</v>
      </c>
    </row>
    <row r="143" spans="1:11" x14ac:dyDescent="0.2">
      <c r="A143" s="9" t="str">
        <f t="shared" si="6"/>
        <v>38-02608</v>
      </c>
      <c r="B143" s="9" t="s">
        <v>608</v>
      </c>
      <c r="C143" s="124">
        <v>8</v>
      </c>
      <c r="D143" s="124">
        <v>1</v>
      </c>
      <c r="E143" s="125">
        <v>285095.93</v>
      </c>
      <c r="F143" s="125">
        <v>17926.45</v>
      </c>
      <c r="G143" s="125">
        <v>0</v>
      </c>
      <c r="H143" s="125">
        <v>0</v>
      </c>
      <c r="I143" s="125">
        <v>0</v>
      </c>
      <c r="J143" s="125">
        <v>0</v>
      </c>
      <c r="K143" s="125">
        <v>0</v>
      </c>
    </row>
    <row r="144" spans="1:11" x14ac:dyDescent="0.2">
      <c r="A144" s="9" t="str">
        <f t="shared" si="6"/>
        <v>39-00808</v>
      </c>
      <c r="B144" s="9" t="s">
        <v>609</v>
      </c>
      <c r="C144" s="124">
        <v>8</v>
      </c>
      <c r="D144" s="124">
        <v>1</v>
      </c>
      <c r="E144" s="125">
        <v>280225.06</v>
      </c>
      <c r="F144" s="125">
        <v>7328.79</v>
      </c>
      <c r="G144" s="125">
        <v>0</v>
      </c>
      <c r="H144" s="125">
        <v>0</v>
      </c>
      <c r="I144" s="125">
        <v>0</v>
      </c>
      <c r="J144" s="125">
        <v>0</v>
      </c>
      <c r="K144" s="125">
        <v>0</v>
      </c>
    </row>
    <row r="145" spans="1:11" x14ac:dyDescent="0.2">
      <c r="A145" s="9" t="str">
        <f t="shared" si="6"/>
        <v>39-01808</v>
      </c>
      <c r="B145" s="9" t="s">
        <v>610</v>
      </c>
      <c r="C145" s="124">
        <v>8</v>
      </c>
      <c r="D145" s="124">
        <v>1</v>
      </c>
      <c r="E145" s="125">
        <v>159139.93</v>
      </c>
      <c r="F145" s="125">
        <v>5510.79</v>
      </c>
      <c r="G145" s="125">
        <v>0</v>
      </c>
      <c r="H145" s="125">
        <v>0</v>
      </c>
      <c r="I145" s="125">
        <v>0</v>
      </c>
      <c r="J145" s="125">
        <v>0</v>
      </c>
      <c r="K145" s="125">
        <v>0</v>
      </c>
    </row>
    <row r="146" spans="1:11" x14ac:dyDescent="0.2">
      <c r="A146" s="9" t="str">
        <f t="shared" si="6"/>
        <v>39-02808</v>
      </c>
      <c r="B146" s="9" t="s">
        <v>611</v>
      </c>
      <c r="C146" s="124">
        <v>8</v>
      </c>
      <c r="D146" s="124">
        <v>1</v>
      </c>
      <c r="E146" s="125">
        <v>230444</v>
      </c>
      <c r="F146" s="125">
        <v>7898.81</v>
      </c>
      <c r="G146" s="125">
        <v>0</v>
      </c>
      <c r="H146" s="125">
        <v>0</v>
      </c>
      <c r="I146" s="125">
        <v>0</v>
      </c>
      <c r="J146" s="125">
        <v>0</v>
      </c>
      <c r="K146" s="125">
        <v>0</v>
      </c>
    </row>
    <row r="147" spans="1:11" x14ac:dyDescent="0.2">
      <c r="A147" s="9" t="str">
        <f>B147&amp;TEXT(C147,"00")</f>
        <v>39-03708</v>
      </c>
      <c r="B147" s="9" t="s">
        <v>612</v>
      </c>
      <c r="C147" s="124">
        <v>8</v>
      </c>
      <c r="D147" s="124">
        <v>1</v>
      </c>
      <c r="E147" s="125">
        <v>1236385.6100000001</v>
      </c>
      <c r="F147" s="125">
        <v>25546.07</v>
      </c>
      <c r="G147" s="125">
        <v>0</v>
      </c>
      <c r="H147" s="125">
        <v>0</v>
      </c>
      <c r="I147" s="125">
        <v>0</v>
      </c>
      <c r="J147" s="125">
        <v>0</v>
      </c>
      <c r="K147" s="125">
        <v>0</v>
      </c>
    </row>
    <row r="148" spans="1:11" x14ac:dyDescent="0.2">
      <c r="A148" s="9" t="str">
        <f t="shared" si="6"/>
        <v>39-04208</v>
      </c>
      <c r="B148" s="9" t="s">
        <v>613</v>
      </c>
      <c r="C148" s="124">
        <v>8</v>
      </c>
      <c r="D148" s="124">
        <v>1</v>
      </c>
      <c r="E148" s="125">
        <v>288040.46000000002</v>
      </c>
      <c r="F148" s="125">
        <v>13238.35</v>
      </c>
      <c r="G148" s="125">
        <v>0</v>
      </c>
      <c r="H148" s="125">
        <v>0</v>
      </c>
      <c r="I148" s="125">
        <v>0</v>
      </c>
      <c r="J148" s="125">
        <v>0</v>
      </c>
      <c r="K148" s="125">
        <v>0</v>
      </c>
    </row>
    <row r="149" spans="1:11" x14ac:dyDescent="0.2">
      <c r="A149" s="9" t="str">
        <f t="shared" si="6"/>
        <v>39-04408</v>
      </c>
      <c r="B149" s="9" t="s">
        <v>614</v>
      </c>
      <c r="C149" s="124">
        <v>8</v>
      </c>
      <c r="D149" s="124">
        <v>1</v>
      </c>
      <c r="E149" s="125">
        <v>333389.78999999998</v>
      </c>
      <c r="F149" s="125">
        <v>14773.91</v>
      </c>
      <c r="G149" s="125">
        <v>0</v>
      </c>
      <c r="H149" s="125">
        <v>0</v>
      </c>
      <c r="I149" s="125">
        <v>0</v>
      </c>
      <c r="J149" s="125">
        <v>0</v>
      </c>
      <c r="K149" s="125">
        <v>0</v>
      </c>
    </row>
    <row r="150" spans="1:11" x14ac:dyDescent="0.2">
      <c r="A150" s="9" t="str">
        <f t="shared" si="6"/>
        <v>39-72808</v>
      </c>
      <c r="B150" s="9" t="s">
        <v>676</v>
      </c>
      <c r="C150" s="124">
        <v>8</v>
      </c>
      <c r="D150" s="124">
        <v>1</v>
      </c>
      <c r="E150" s="125">
        <v>0</v>
      </c>
      <c r="F150" s="125">
        <v>6467.95</v>
      </c>
      <c r="G150" s="125">
        <v>0</v>
      </c>
      <c r="H150" s="125">
        <v>65.13</v>
      </c>
      <c r="I150" s="125">
        <v>0</v>
      </c>
      <c r="J150" s="125">
        <v>0</v>
      </c>
      <c r="K150" s="125">
        <v>0</v>
      </c>
    </row>
    <row r="151" spans="1:11" x14ac:dyDescent="0.2">
      <c r="A151" s="9" t="str">
        <f t="shared" si="6"/>
        <v>39-73708</v>
      </c>
      <c r="B151" s="9" t="s">
        <v>677</v>
      </c>
      <c r="C151" s="124">
        <v>8</v>
      </c>
      <c r="D151" s="124">
        <v>1</v>
      </c>
      <c r="E151" s="125">
        <v>0</v>
      </c>
      <c r="F151" s="125">
        <v>0</v>
      </c>
      <c r="G151" s="125">
        <v>0</v>
      </c>
      <c r="H151" s="125">
        <v>0</v>
      </c>
      <c r="I151" s="125">
        <v>0</v>
      </c>
      <c r="J151" s="125">
        <v>0</v>
      </c>
      <c r="K151" s="125">
        <v>0</v>
      </c>
    </row>
    <row r="152" spans="1:11" x14ac:dyDescent="0.2">
      <c r="A152" s="9" t="str">
        <f t="shared" si="6"/>
        <v>40-00108</v>
      </c>
      <c r="B152" s="9" t="s">
        <v>615</v>
      </c>
      <c r="C152" s="124">
        <v>8</v>
      </c>
      <c r="D152" s="124">
        <v>1</v>
      </c>
      <c r="E152" s="125">
        <v>884227.1</v>
      </c>
      <c r="F152" s="125">
        <v>15436.99</v>
      </c>
      <c r="G152" s="125">
        <v>0</v>
      </c>
      <c r="H152" s="125">
        <v>0</v>
      </c>
      <c r="I152" s="125">
        <v>0</v>
      </c>
      <c r="J152" s="125">
        <v>0</v>
      </c>
      <c r="K152" s="125">
        <v>0</v>
      </c>
    </row>
    <row r="153" spans="1:11" x14ac:dyDescent="0.2">
      <c r="A153" s="9" t="str">
        <f t="shared" si="6"/>
        <v>40-00308</v>
      </c>
      <c r="B153" s="9" t="s">
        <v>616</v>
      </c>
      <c r="C153" s="124">
        <v>8</v>
      </c>
      <c r="D153" s="124">
        <v>1</v>
      </c>
      <c r="E153" s="125">
        <v>548525.46</v>
      </c>
      <c r="F153" s="125">
        <v>23510.29</v>
      </c>
      <c r="G153" s="125">
        <v>0</v>
      </c>
      <c r="H153" s="125">
        <v>0</v>
      </c>
      <c r="I153" s="125">
        <v>0</v>
      </c>
      <c r="J153" s="125">
        <v>0</v>
      </c>
      <c r="K153" s="125">
        <v>0</v>
      </c>
    </row>
    <row r="154" spans="1:11" x14ac:dyDescent="0.2">
      <c r="A154" s="9" t="str">
        <f t="shared" si="6"/>
        <v>40-00408</v>
      </c>
      <c r="B154" s="9" t="s">
        <v>617</v>
      </c>
      <c r="C154" s="124">
        <v>8</v>
      </c>
      <c r="D154" s="124">
        <v>1</v>
      </c>
      <c r="E154" s="125">
        <v>251747.3</v>
      </c>
      <c r="F154" s="125">
        <v>6700.61</v>
      </c>
      <c r="G154" s="125">
        <v>0</v>
      </c>
      <c r="H154" s="125">
        <v>0</v>
      </c>
      <c r="I154" s="125">
        <v>0</v>
      </c>
      <c r="J154" s="125">
        <v>0</v>
      </c>
      <c r="K154" s="125">
        <v>0</v>
      </c>
    </row>
    <row r="155" spans="1:11" x14ac:dyDescent="0.2">
      <c r="A155" s="9" t="str">
        <f t="shared" si="6"/>
        <v>40-00708</v>
      </c>
      <c r="B155" s="9" t="s">
        <v>618</v>
      </c>
      <c r="C155" s="124">
        <v>8</v>
      </c>
      <c r="D155" s="124">
        <v>1</v>
      </c>
      <c r="E155" s="125">
        <v>2056013.72</v>
      </c>
      <c r="F155" s="125">
        <v>87154.44</v>
      </c>
      <c r="G155" s="125">
        <v>0</v>
      </c>
      <c r="H155" s="125">
        <v>0</v>
      </c>
      <c r="I155" s="125">
        <v>0</v>
      </c>
      <c r="J155" s="125">
        <v>0</v>
      </c>
      <c r="K155" s="125">
        <v>0</v>
      </c>
    </row>
    <row r="156" spans="1:11" x14ac:dyDescent="0.2">
      <c r="A156" s="9" t="str">
        <f t="shared" si="6"/>
        <v>40-02908</v>
      </c>
      <c r="B156" s="9" t="s">
        <v>619</v>
      </c>
      <c r="C156" s="124">
        <v>8</v>
      </c>
      <c r="D156" s="124">
        <v>1</v>
      </c>
      <c r="E156" s="125">
        <v>195916.82</v>
      </c>
      <c r="F156" s="125">
        <v>12901</v>
      </c>
      <c r="G156" s="125">
        <v>0</v>
      </c>
      <c r="H156" s="125">
        <v>0</v>
      </c>
      <c r="I156" s="125">
        <v>0</v>
      </c>
      <c r="J156" s="125">
        <v>0</v>
      </c>
      <c r="K156" s="125">
        <v>0</v>
      </c>
    </row>
    <row r="157" spans="1:11" x14ac:dyDescent="0.2">
      <c r="A157" s="9" t="str">
        <f t="shared" si="6"/>
        <v>40-71908</v>
      </c>
      <c r="B157" s="9" t="s">
        <v>678</v>
      </c>
      <c r="C157" s="124">
        <v>8</v>
      </c>
      <c r="D157" s="124">
        <v>1</v>
      </c>
      <c r="E157" s="125">
        <v>0</v>
      </c>
      <c r="F157" s="125">
        <v>0</v>
      </c>
      <c r="G157" s="125">
        <v>0</v>
      </c>
      <c r="H157" s="125">
        <v>0</v>
      </c>
      <c r="I157" s="125">
        <v>0</v>
      </c>
      <c r="J157" s="125">
        <v>0</v>
      </c>
      <c r="K157" s="125">
        <v>0</v>
      </c>
    </row>
    <row r="158" spans="1:11" x14ac:dyDescent="0.2">
      <c r="A158" s="9" t="str">
        <f t="shared" si="6"/>
        <v>41-00208</v>
      </c>
      <c r="B158" s="9" t="s">
        <v>620</v>
      </c>
      <c r="C158" s="124">
        <v>8</v>
      </c>
      <c r="D158" s="124">
        <v>1</v>
      </c>
      <c r="E158" s="125">
        <v>284661.83</v>
      </c>
      <c r="F158" s="125">
        <v>7933.71</v>
      </c>
      <c r="G158" s="125">
        <v>0</v>
      </c>
      <c r="H158" s="125">
        <v>0</v>
      </c>
      <c r="I158" s="125">
        <v>0</v>
      </c>
      <c r="J158" s="125">
        <v>0</v>
      </c>
      <c r="K158" s="125">
        <v>0</v>
      </c>
    </row>
    <row r="159" spans="1:11" x14ac:dyDescent="0.2">
      <c r="A159" s="9" t="str">
        <f t="shared" si="6"/>
        <v>41-00308</v>
      </c>
      <c r="B159" s="9" t="s">
        <v>621</v>
      </c>
      <c r="C159" s="124">
        <v>8</v>
      </c>
      <c r="D159" s="124">
        <v>1</v>
      </c>
      <c r="E159" s="125">
        <v>232450.58</v>
      </c>
      <c r="F159" s="125">
        <v>6177.12</v>
      </c>
      <c r="G159" s="125">
        <v>0</v>
      </c>
      <c r="H159" s="125">
        <v>0</v>
      </c>
      <c r="I159" s="125">
        <v>0</v>
      </c>
      <c r="J159" s="125">
        <v>0</v>
      </c>
      <c r="K159" s="125">
        <v>0</v>
      </c>
    </row>
    <row r="160" spans="1:11" x14ac:dyDescent="0.2">
      <c r="A160" s="9" t="str">
        <f t="shared" si="6"/>
        <v>41-00608</v>
      </c>
      <c r="B160" s="9" t="s">
        <v>622</v>
      </c>
      <c r="C160" s="124">
        <v>8</v>
      </c>
      <c r="D160" s="124">
        <v>1</v>
      </c>
      <c r="E160" s="125">
        <v>172339.14</v>
      </c>
      <c r="F160" s="125">
        <v>10609.3</v>
      </c>
      <c r="G160" s="125">
        <v>0</v>
      </c>
      <c r="H160" s="125">
        <v>0</v>
      </c>
      <c r="I160" s="125">
        <v>0</v>
      </c>
      <c r="J160" s="125">
        <v>0</v>
      </c>
      <c r="K160" s="125">
        <v>0</v>
      </c>
    </row>
    <row r="161" spans="1:11" x14ac:dyDescent="0.2">
      <c r="A161" s="9" t="str">
        <f t="shared" si="6"/>
        <v>42-02908</v>
      </c>
      <c r="B161" s="9" t="s">
        <v>1127</v>
      </c>
      <c r="C161" s="124">
        <v>8</v>
      </c>
      <c r="D161" s="124">
        <v>1</v>
      </c>
      <c r="E161" s="125">
        <v>141031.38</v>
      </c>
      <c r="F161" s="125">
        <v>11505.04</v>
      </c>
      <c r="G161" s="125">
        <v>0</v>
      </c>
      <c r="H161" s="125">
        <v>0</v>
      </c>
      <c r="I161" s="125">
        <v>0</v>
      </c>
      <c r="J161" s="125">
        <v>0</v>
      </c>
      <c r="K161" s="125">
        <v>0</v>
      </c>
    </row>
    <row r="162" spans="1:11" x14ac:dyDescent="0.2">
      <c r="A162" s="9" t="str">
        <f t="shared" si="6"/>
        <v>43-00308</v>
      </c>
      <c r="B162" s="9" t="s">
        <v>623</v>
      </c>
      <c r="C162" s="124">
        <v>8</v>
      </c>
      <c r="D162" s="124">
        <v>1</v>
      </c>
      <c r="E162" s="125">
        <v>301610.49</v>
      </c>
      <c r="F162" s="125">
        <v>12284.45</v>
      </c>
      <c r="G162" s="125">
        <v>0</v>
      </c>
      <c r="H162" s="125">
        <v>0</v>
      </c>
      <c r="I162" s="125">
        <v>0</v>
      </c>
      <c r="J162" s="125">
        <v>0</v>
      </c>
      <c r="K162" s="125">
        <v>0</v>
      </c>
    </row>
    <row r="163" spans="1:11" x14ac:dyDescent="0.2">
      <c r="A163" s="9" t="str">
        <f t="shared" si="6"/>
        <v>43-00408</v>
      </c>
      <c r="B163" s="9" t="s">
        <v>624</v>
      </c>
      <c r="C163" s="124">
        <v>8</v>
      </c>
      <c r="D163" s="124">
        <v>1</v>
      </c>
      <c r="E163" s="125">
        <v>171728.68</v>
      </c>
      <c r="F163" s="125">
        <v>13298.14</v>
      </c>
      <c r="G163" s="125">
        <v>0</v>
      </c>
      <c r="H163" s="125">
        <v>0</v>
      </c>
      <c r="I163" s="125">
        <v>0</v>
      </c>
      <c r="J163" s="125">
        <v>0</v>
      </c>
      <c r="K163" s="125">
        <v>0</v>
      </c>
    </row>
    <row r="164" spans="1:11" x14ac:dyDescent="0.2">
      <c r="A164" s="9" t="str">
        <f t="shared" si="6"/>
        <v>43-00808</v>
      </c>
      <c r="B164" s="9" t="s">
        <v>625</v>
      </c>
      <c r="C164" s="124">
        <v>8</v>
      </c>
      <c r="D164" s="124">
        <v>1</v>
      </c>
      <c r="E164" s="125">
        <v>152168.5</v>
      </c>
      <c r="F164" s="125">
        <v>8526.99</v>
      </c>
      <c r="G164" s="125">
        <v>0</v>
      </c>
      <c r="H164" s="125">
        <v>0</v>
      </c>
      <c r="I164" s="125">
        <v>0</v>
      </c>
      <c r="J164" s="125">
        <v>0</v>
      </c>
      <c r="K164" s="125">
        <v>0</v>
      </c>
    </row>
    <row r="165" spans="1:11" x14ac:dyDescent="0.2">
      <c r="A165" s="9" t="str">
        <f t="shared" si="6"/>
        <v>43-73108</v>
      </c>
      <c r="B165" s="9" t="s">
        <v>679</v>
      </c>
      <c r="C165" s="124">
        <v>8</v>
      </c>
      <c r="D165" s="124">
        <v>1</v>
      </c>
      <c r="E165" s="125">
        <v>8776.19</v>
      </c>
      <c r="F165" s="125">
        <v>0</v>
      </c>
      <c r="G165" s="125">
        <v>0</v>
      </c>
      <c r="H165" s="125">
        <v>0</v>
      </c>
      <c r="I165" s="125">
        <v>0</v>
      </c>
      <c r="J165" s="125">
        <v>0</v>
      </c>
      <c r="K165" s="125">
        <v>0</v>
      </c>
    </row>
    <row r="166" spans="1:11" x14ac:dyDescent="0.2">
      <c r="A166" s="9" t="str">
        <f t="shared" si="6"/>
        <v>44-01208</v>
      </c>
      <c r="B166" s="9" t="s">
        <v>626</v>
      </c>
      <c r="C166" s="124">
        <v>8</v>
      </c>
      <c r="D166" s="124">
        <v>1</v>
      </c>
      <c r="E166" s="125">
        <v>41914.879999999997</v>
      </c>
      <c r="F166" s="125">
        <v>2163.7399999999998</v>
      </c>
      <c r="G166" s="125">
        <v>0</v>
      </c>
      <c r="H166" s="125">
        <v>0</v>
      </c>
      <c r="I166" s="125">
        <v>0</v>
      </c>
      <c r="J166" s="125">
        <v>0</v>
      </c>
      <c r="K166" s="125">
        <v>0</v>
      </c>
    </row>
    <row r="167" spans="1:11" x14ac:dyDescent="0.2">
      <c r="A167" s="9" t="str">
        <f t="shared" si="6"/>
        <v>45-00108</v>
      </c>
      <c r="B167" s="9" t="s">
        <v>627</v>
      </c>
      <c r="C167" s="124">
        <v>8</v>
      </c>
      <c r="D167" s="124">
        <v>1</v>
      </c>
      <c r="E167" s="125">
        <v>4099261.23</v>
      </c>
      <c r="F167" s="125">
        <v>50789.68</v>
      </c>
      <c r="G167" s="125">
        <v>267.47000000000003</v>
      </c>
      <c r="H167" s="125">
        <v>0</v>
      </c>
      <c r="I167" s="125">
        <v>0</v>
      </c>
      <c r="J167" s="125">
        <v>0</v>
      </c>
      <c r="K167" s="125">
        <v>0</v>
      </c>
    </row>
    <row r="168" spans="1:11" x14ac:dyDescent="0.2">
      <c r="A168" s="9" t="str">
        <f t="shared" ref="A168:A199" si="7">B168&amp;TEXT(C168,"00")</f>
        <v>45-00908</v>
      </c>
      <c r="B168" s="9" t="s">
        <v>628</v>
      </c>
      <c r="C168" s="124">
        <v>8</v>
      </c>
      <c r="D168" s="124">
        <v>1</v>
      </c>
      <c r="E168" s="125">
        <v>391795.69</v>
      </c>
      <c r="F168" s="125">
        <v>19240.98</v>
      </c>
      <c r="G168" s="125">
        <v>0</v>
      </c>
      <c r="H168" s="125">
        <v>0</v>
      </c>
      <c r="I168" s="125">
        <v>0</v>
      </c>
      <c r="J168" s="125">
        <v>0</v>
      </c>
      <c r="K168" s="125">
        <v>0</v>
      </c>
    </row>
    <row r="169" spans="1:11" x14ac:dyDescent="0.2">
      <c r="A169" s="9" t="str">
        <f t="shared" si="7"/>
        <v>45-01308</v>
      </c>
      <c r="B169" s="9" t="s">
        <v>629</v>
      </c>
      <c r="C169" s="124">
        <v>8</v>
      </c>
      <c r="D169" s="124">
        <v>1</v>
      </c>
      <c r="E169" s="125">
        <v>257328.32</v>
      </c>
      <c r="F169" s="125">
        <v>5769.97</v>
      </c>
      <c r="G169" s="125">
        <v>0</v>
      </c>
      <c r="H169" s="125">
        <v>0</v>
      </c>
      <c r="I169" s="125">
        <v>0</v>
      </c>
      <c r="J169" s="125">
        <v>0</v>
      </c>
      <c r="K169" s="125">
        <v>0</v>
      </c>
    </row>
    <row r="170" spans="1:11" x14ac:dyDescent="0.2">
      <c r="A170" s="9" t="str">
        <f t="shared" si="7"/>
        <v>45-03408</v>
      </c>
      <c r="B170" s="9" t="s">
        <v>630</v>
      </c>
      <c r="C170" s="124">
        <v>8</v>
      </c>
      <c r="D170" s="124">
        <v>1</v>
      </c>
      <c r="E170" s="125">
        <v>329345.59000000003</v>
      </c>
      <c r="F170" s="125">
        <v>22195.759999999998</v>
      </c>
      <c r="G170" s="125">
        <v>0</v>
      </c>
      <c r="H170" s="125">
        <v>0</v>
      </c>
      <c r="I170" s="125">
        <v>0</v>
      </c>
      <c r="J170" s="125">
        <v>0</v>
      </c>
      <c r="K170" s="125">
        <v>0</v>
      </c>
    </row>
    <row r="171" spans="1:11" x14ac:dyDescent="0.2">
      <c r="A171" s="9" t="str">
        <f t="shared" si="7"/>
        <v>45-70108</v>
      </c>
      <c r="B171" s="9" t="s">
        <v>680</v>
      </c>
      <c r="C171" s="124">
        <v>8</v>
      </c>
      <c r="D171" s="124">
        <v>1</v>
      </c>
      <c r="E171" s="125">
        <v>0</v>
      </c>
      <c r="F171" s="125">
        <v>0</v>
      </c>
      <c r="G171" s="125">
        <v>0</v>
      </c>
      <c r="H171" s="125">
        <v>0</v>
      </c>
      <c r="I171" s="125">
        <v>0</v>
      </c>
      <c r="J171" s="125">
        <v>0</v>
      </c>
      <c r="K171" s="125">
        <v>0</v>
      </c>
    </row>
    <row r="172" spans="1:11" x14ac:dyDescent="0.2">
      <c r="A172" s="9" t="str">
        <f t="shared" si="7"/>
        <v>45-73508</v>
      </c>
      <c r="B172" s="9" t="s">
        <v>681</v>
      </c>
      <c r="C172" s="124">
        <v>8</v>
      </c>
      <c r="D172" s="124">
        <v>1</v>
      </c>
      <c r="E172" s="125">
        <v>0</v>
      </c>
      <c r="F172" s="125">
        <v>0</v>
      </c>
      <c r="G172" s="125">
        <v>0</v>
      </c>
      <c r="H172" s="125">
        <v>5768.09</v>
      </c>
      <c r="I172" s="125">
        <v>0</v>
      </c>
      <c r="J172" s="125">
        <v>0</v>
      </c>
      <c r="K172" s="125">
        <v>0</v>
      </c>
    </row>
    <row r="173" spans="1:11" x14ac:dyDescent="0.2">
      <c r="A173" s="9" t="str">
        <f t="shared" si="7"/>
        <v>46-01908</v>
      </c>
      <c r="B173" s="9" t="s">
        <v>631</v>
      </c>
      <c r="C173" s="124">
        <v>8</v>
      </c>
      <c r="D173" s="124">
        <v>1</v>
      </c>
      <c r="E173" s="125">
        <v>152160.19</v>
      </c>
      <c r="F173" s="125">
        <v>6188.76</v>
      </c>
      <c r="G173" s="125">
        <v>0</v>
      </c>
      <c r="H173" s="125">
        <v>0</v>
      </c>
      <c r="I173" s="125">
        <v>0</v>
      </c>
      <c r="J173" s="125">
        <v>0</v>
      </c>
      <c r="K173" s="125">
        <v>0</v>
      </c>
    </row>
    <row r="174" spans="1:11" x14ac:dyDescent="0.2">
      <c r="A174" s="9" t="str">
        <f t="shared" si="7"/>
        <v>47-00108</v>
      </c>
      <c r="B174" s="9" t="s">
        <v>632</v>
      </c>
      <c r="C174" s="124">
        <v>8</v>
      </c>
      <c r="D174" s="124">
        <v>1</v>
      </c>
      <c r="E174" s="125">
        <v>1925155.86</v>
      </c>
      <c r="F174" s="125">
        <v>22498.22</v>
      </c>
      <c r="G174" s="125">
        <v>0</v>
      </c>
      <c r="H174" s="125">
        <v>0</v>
      </c>
      <c r="I174" s="125">
        <v>0</v>
      </c>
      <c r="J174" s="125">
        <v>0</v>
      </c>
      <c r="K174" s="125">
        <v>0</v>
      </c>
    </row>
    <row r="175" spans="1:11" x14ac:dyDescent="0.2">
      <c r="A175" s="9" t="str">
        <f t="shared" si="7"/>
        <v>47-00308</v>
      </c>
      <c r="B175" s="9" t="s">
        <v>633</v>
      </c>
      <c r="C175" s="124">
        <v>8</v>
      </c>
      <c r="D175" s="124">
        <v>1</v>
      </c>
      <c r="E175" s="125">
        <v>241702.46</v>
      </c>
      <c r="F175" s="125">
        <v>18519.740000000002</v>
      </c>
      <c r="G175" s="125">
        <v>0</v>
      </c>
      <c r="H175" s="125">
        <v>0</v>
      </c>
      <c r="I175" s="125">
        <v>0</v>
      </c>
      <c r="J175" s="125">
        <v>0</v>
      </c>
      <c r="K175" s="125">
        <v>0</v>
      </c>
    </row>
    <row r="176" spans="1:11" x14ac:dyDescent="0.2">
      <c r="A176" s="9" t="str">
        <f t="shared" si="7"/>
        <v>47-01008</v>
      </c>
      <c r="B176" s="9" t="s">
        <v>634</v>
      </c>
      <c r="C176" s="124">
        <v>8</v>
      </c>
      <c r="D176" s="124">
        <v>1</v>
      </c>
      <c r="E176" s="125">
        <v>205654.74</v>
      </c>
      <c r="F176" s="125">
        <v>12807.93</v>
      </c>
      <c r="G176" s="125">
        <v>0</v>
      </c>
      <c r="H176" s="125">
        <v>0</v>
      </c>
      <c r="I176" s="125">
        <v>0</v>
      </c>
      <c r="J176" s="125">
        <v>0</v>
      </c>
      <c r="K176" s="125">
        <v>0</v>
      </c>
    </row>
    <row r="177" spans="1:11" x14ac:dyDescent="0.2">
      <c r="A177" s="9" t="str">
        <f t="shared" si="7"/>
        <v>47-01408</v>
      </c>
      <c r="B177" s="9" t="s">
        <v>635</v>
      </c>
      <c r="C177" s="124">
        <v>8</v>
      </c>
      <c r="D177" s="124">
        <v>1</v>
      </c>
      <c r="E177" s="125">
        <v>142947.76999999999</v>
      </c>
      <c r="F177" s="125">
        <v>7677.78</v>
      </c>
      <c r="G177" s="125">
        <v>0</v>
      </c>
      <c r="H177" s="125">
        <v>0</v>
      </c>
      <c r="I177" s="125">
        <v>0</v>
      </c>
      <c r="J177" s="125">
        <v>0</v>
      </c>
      <c r="K177" s="125">
        <v>0</v>
      </c>
    </row>
    <row r="178" spans="1:11" x14ac:dyDescent="0.2">
      <c r="A178" s="9" t="str">
        <f t="shared" si="7"/>
        <v>47-01908</v>
      </c>
      <c r="B178" s="9" t="s">
        <v>636</v>
      </c>
      <c r="C178" s="124">
        <v>8</v>
      </c>
      <c r="D178" s="124">
        <v>1</v>
      </c>
      <c r="E178" s="125">
        <v>14093.63</v>
      </c>
      <c r="F178" s="125">
        <v>3361.94</v>
      </c>
      <c r="G178" s="125">
        <v>0</v>
      </c>
      <c r="H178" s="125">
        <v>0</v>
      </c>
      <c r="I178" s="125">
        <v>0</v>
      </c>
      <c r="J178" s="125">
        <v>0</v>
      </c>
      <c r="K178" s="125">
        <v>0</v>
      </c>
    </row>
    <row r="179" spans="1:11" x14ac:dyDescent="0.2">
      <c r="A179" s="9" t="str">
        <f t="shared" si="7"/>
        <v>47-70108</v>
      </c>
      <c r="B179" s="9" t="s">
        <v>841</v>
      </c>
      <c r="C179" s="124">
        <v>8</v>
      </c>
      <c r="D179" s="124">
        <v>1</v>
      </c>
      <c r="E179" s="125">
        <v>0</v>
      </c>
      <c r="F179" s="125">
        <v>0</v>
      </c>
      <c r="G179" s="125">
        <v>0</v>
      </c>
      <c r="H179" s="125">
        <v>0</v>
      </c>
      <c r="I179" s="125">
        <v>0</v>
      </c>
      <c r="J179" s="125">
        <v>0</v>
      </c>
      <c r="K179" s="125">
        <v>0</v>
      </c>
    </row>
    <row r="180" spans="1:11" x14ac:dyDescent="0.2">
      <c r="A180" s="9" t="str">
        <f t="shared" si="7"/>
        <v>47-70208</v>
      </c>
      <c r="B180" s="9" t="s">
        <v>840</v>
      </c>
      <c r="C180" s="124">
        <v>8</v>
      </c>
      <c r="D180" s="124">
        <v>1</v>
      </c>
      <c r="E180" s="125">
        <v>144293.66</v>
      </c>
      <c r="F180" s="125">
        <v>0</v>
      </c>
      <c r="G180" s="125">
        <v>0</v>
      </c>
      <c r="H180" s="125">
        <v>0</v>
      </c>
      <c r="I180" s="125">
        <v>0</v>
      </c>
      <c r="J180" s="125">
        <v>0</v>
      </c>
      <c r="K180" s="125">
        <v>0</v>
      </c>
    </row>
    <row r="181" spans="1:11" x14ac:dyDescent="0.2">
      <c r="A181" s="9" t="str">
        <f t="shared" si="7"/>
        <v>48-01008</v>
      </c>
      <c r="B181" s="9" t="s">
        <v>800</v>
      </c>
      <c r="C181" s="124">
        <v>8</v>
      </c>
      <c r="D181" s="124">
        <v>1</v>
      </c>
      <c r="E181" s="125">
        <v>251126.64</v>
      </c>
      <c r="F181" s="125">
        <v>13901.44</v>
      </c>
      <c r="G181" s="125">
        <v>0</v>
      </c>
      <c r="H181" s="125">
        <v>0</v>
      </c>
      <c r="I181" s="125">
        <v>0</v>
      </c>
      <c r="J181" s="125">
        <v>0</v>
      </c>
      <c r="K181" s="125">
        <v>0</v>
      </c>
    </row>
    <row r="182" spans="1:11" x14ac:dyDescent="0.2">
      <c r="A182" s="9" t="str">
        <f t="shared" si="7"/>
        <v>49-00308</v>
      </c>
      <c r="B182" s="9" t="s">
        <v>637</v>
      </c>
      <c r="C182" s="124">
        <v>8</v>
      </c>
      <c r="D182" s="124">
        <v>1</v>
      </c>
      <c r="E182" s="125">
        <v>196925.07</v>
      </c>
      <c r="F182" s="125">
        <v>10097.44</v>
      </c>
      <c r="G182" s="125">
        <v>0</v>
      </c>
      <c r="H182" s="125">
        <v>0</v>
      </c>
      <c r="I182" s="125">
        <v>0</v>
      </c>
      <c r="J182" s="125">
        <v>0</v>
      </c>
      <c r="K182" s="125">
        <v>0</v>
      </c>
    </row>
    <row r="183" spans="1:11" x14ac:dyDescent="0.2">
      <c r="A183" s="9" t="str">
        <f t="shared" si="7"/>
        <v>49-00708</v>
      </c>
      <c r="B183" s="9" t="s">
        <v>638</v>
      </c>
      <c r="C183" s="124">
        <v>8</v>
      </c>
      <c r="D183" s="124">
        <v>1</v>
      </c>
      <c r="E183" s="125">
        <v>189343.73</v>
      </c>
      <c r="F183" s="125">
        <v>4781.16</v>
      </c>
      <c r="G183" s="125">
        <v>0</v>
      </c>
      <c r="H183" s="125">
        <v>0</v>
      </c>
      <c r="I183" s="125">
        <v>0</v>
      </c>
      <c r="J183" s="125">
        <v>0</v>
      </c>
      <c r="K183" s="125">
        <v>0</v>
      </c>
    </row>
    <row r="184" spans="1:11" x14ac:dyDescent="0.2">
      <c r="A184" s="9" t="str">
        <f t="shared" si="7"/>
        <v>49-00908</v>
      </c>
      <c r="B184" s="9" t="s">
        <v>639</v>
      </c>
      <c r="C184" s="124">
        <v>8</v>
      </c>
      <c r="D184" s="124">
        <v>1</v>
      </c>
      <c r="E184" s="125">
        <v>407129.78</v>
      </c>
      <c r="F184" s="125">
        <v>8794.5499999999993</v>
      </c>
      <c r="G184" s="125">
        <v>0</v>
      </c>
      <c r="H184" s="125">
        <v>0</v>
      </c>
      <c r="I184" s="125">
        <v>0</v>
      </c>
      <c r="J184" s="125">
        <v>0</v>
      </c>
      <c r="K184" s="125">
        <v>0</v>
      </c>
    </row>
    <row r="185" spans="1:11" x14ac:dyDescent="0.2">
      <c r="A185" s="9" t="str">
        <f t="shared" si="7"/>
        <v>49-01408</v>
      </c>
      <c r="B185" s="9" t="s">
        <v>640</v>
      </c>
      <c r="C185" s="124">
        <v>8</v>
      </c>
      <c r="D185" s="124">
        <v>1</v>
      </c>
      <c r="E185" s="125">
        <v>451467.26</v>
      </c>
      <c r="F185" s="125">
        <v>13564.08</v>
      </c>
      <c r="G185" s="125">
        <v>57.09</v>
      </c>
      <c r="H185" s="125">
        <v>0</v>
      </c>
      <c r="I185" s="125">
        <v>0</v>
      </c>
      <c r="J185" s="125">
        <v>0</v>
      </c>
      <c r="K185" s="125">
        <v>0</v>
      </c>
    </row>
    <row r="186" spans="1:11" x14ac:dyDescent="0.2">
      <c r="A186" s="9" t="str">
        <f t="shared" si="7"/>
        <v>50-00508</v>
      </c>
      <c r="B186" s="9" t="s">
        <v>641</v>
      </c>
      <c r="C186" s="124">
        <v>8</v>
      </c>
      <c r="D186" s="124">
        <v>1</v>
      </c>
      <c r="E186" s="125">
        <v>62252.71</v>
      </c>
      <c r="F186" s="125">
        <v>8406.4500000000007</v>
      </c>
      <c r="G186" s="125">
        <v>0</v>
      </c>
      <c r="H186" s="125">
        <v>0</v>
      </c>
      <c r="I186" s="125">
        <v>0</v>
      </c>
      <c r="J186" s="125">
        <v>0</v>
      </c>
      <c r="K186" s="125">
        <v>0</v>
      </c>
    </row>
    <row r="187" spans="1:11" x14ac:dyDescent="0.2">
      <c r="A187" s="9" t="str">
        <f t="shared" si="7"/>
        <v>50-00808</v>
      </c>
      <c r="B187" s="9" t="s">
        <v>1012</v>
      </c>
      <c r="C187" s="124">
        <v>8</v>
      </c>
      <c r="D187" s="124">
        <v>1</v>
      </c>
      <c r="E187" s="125">
        <v>477086.98</v>
      </c>
      <c r="F187" s="125">
        <v>15018.2</v>
      </c>
      <c r="G187" s="125">
        <v>0</v>
      </c>
      <c r="H187" s="125">
        <v>0</v>
      </c>
      <c r="I187" s="125">
        <v>0</v>
      </c>
      <c r="J187" s="125">
        <v>0</v>
      </c>
      <c r="K187" s="125">
        <v>0</v>
      </c>
    </row>
    <row r="188" spans="1:11" x14ac:dyDescent="0.2">
      <c r="A188" s="9" t="str">
        <f t="shared" si="7"/>
        <v>50-01808</v>
      </c>
      <c r="B188" s="9" t="s">
        <v>1123</v>
      </c>
      <c r="C188" s="124">
        <v>8</v>
      </c>
      <c r="D188" s="124">
        <v>1</v>
      </c>
      <c r="E188" s="125">
        <v>1074623.3400000001</v>
      </c>
      <c r="F188" s="125">
        <v>28047.16</v>
      </c>
      <c r="G188" s="125">
        <v>0</v>
      </c>
      <c r="H188" s="125">
        <v>0</v>
      </c>
      <c r="I188" s="125">
        <v>0</v>
      </c>
      <c r="J188" s="125">
        <v>0</v>
      </c>
      <c r="K188" s="125">
        <v>0</v>
      </c>
    </row>
    <row r="189" spans="1:11" x14ac:dyDescent="0.2">
      <c r="A189" s="9" t="str">
        <f t="shared" si="7"/>
        <v>50-02008</v>
      </c>
      <c r="B189" s="9" t="s">
        <v>642</v>
      </c>
      <c r="C189" s="124">
        <v>8</v>
      </c>
      <c r="D189" s="124">
        <v>1</v>
      </c>
      <c r="E189" s="125">
        <v>366104.57</v>
      </c>
      <c r="F189" s="125">
        <v>15285.76</v>
      </c>
      <c r="G189" s="125">
        <v>0</v>
      </c>
      <c r="H189" s="125">
        <v>0</v>
      </c>
      <c r="I189" s="125">
        <v>0</v>
      </c>
      <c r="J189" s="125">
        <v>0</v>
      </c>
      <c r="K189" s="125">
        <v>0</v>
      </c>
    </row>
    <row r="190" spans="1:11" x14ac:dyDescent="0.2">
      <c r="A190" s="9" t="str">
        <f t="shared" si="7"/>
        <v>50-72908</v>
      </c>
      <c r="B190" s="9" t="s">
        <v>683</v>
      </c>
      <c r="C190" s="124">
        <v>8</v>
      </c>
      <c r="D190" s="124">
        <v>1</v>
      </c>
      <c r="E190" s="125">
        <v>0</v>
      </c>
      <c r="F190" s="125">
        <v>0</v>
      </c>
      <c r="G190" s="125">
        <v>0</v>
      </c>
      <c r="H190" s="125">
        <v>0</v>
      </c>
      <c r="I190" s="125">
        <v>0</v>
      </c>
      <c r="J190" s="125">
        <v>0</v>
      </c>
      <c r="K190" s="125">
        <v>0</v>
      </c>
    </row>
    <row r="191" spans="1:11" x14ac:dyDescent="0.2">
      <c r="A191" s="9" t="str">
        <f t="shared" si="7"/>
        <v>51-00108</v>
      </c>
      <c r="B191" s="9" t="s">
        <v>643</v>
      </c>
      <c r="C191" s="124">
        <v>8</v>
      </c>
      <c r="D191" s="124">
        <v>1</v>
      </c>
      <c r="E191" s="125">
        <v>7892042.5499999998</v>
      </c>
      <c r="F191" s="125">
        <v>57187.83</v>
      </c>
      <c r="G191" s="125">
        <v>0</v>
      </c>
      <c r="H191" s="125">
        <v>0</v>
      </c>
      <c r="I191" s="125">
        <v>0</v>
      </c>
      <c r="J191" s="125">
        <v>0</v>
      </c>
      <c r="K191" s="125">
        <v>0</v>
      </c>
    </row>
    <row r="192" spans="1:11" x14ac:dyDescent="0.2">
      <c r="A192" s="9" t="str">
        <f t="shared" si="7"/>
        <v>51-00408</v>
      </c>
      <c r="B192" s="9" t="s">
        <v>644</v>
      </c>
      <c r="C192" s="124">
        <v>8</v>
      </c>
      <c r="D192" s="124">
        <v>1</v>
      </c>
      <c r="E192" s="125">
        <v>534646.56999999995</v>
      </c>
      <c r="F192" s="125">
        <v>17402.97</v>
      </c>
      <c r="G192" s="125">
        <v>0</v>
      </c>
      <c r="H192" s="125">
        <v>0</v>
      </c>
      <c r="I192" s="125">
        <v>0</v>
      </c>
      <c r="J192" s="125">
        <v>0</v>
      </c>
      <c r="K192" s="125">
        <v>0</v>
      </c>
    </row>
    <row r="193" spans="1:11" x14ac:dyDescent="0.2">
      <c r="A193" s="9" t="str">
        <f t="shared" si="7"/>
        <v>51-00708</v>
      </c>
      <c r="B193" s="9" t="s">
        <v>645</v>
      </c>
      <c r="C193" s="124">
        <v>8</v>
      </c>
      <c r="D193" s="124">
        <v>1</v>
      </c>
      <c r="E193" s="125">
        <v>679905.42</v>
      </c>
      <c r="F193" s="125">
        <v>38458.699999999997</v>
      </c>
      <c r="G193" s="125">
        <v>0</v>
      </c>
      <c r="H193" s="125">
        <v>0</v>
      </c>
      <c r="I193" s="125">
        <v>0</v>
      </c>
      <c r="J193" s="125">
        <v>0</v>
      </c>
      <c r="K193" s="125">
        <v>0</v>
      </c>
    </row>
    <row r="194" spans="1:11" x14ac:dyDescent="0.2">
      <c r="A194" s="9" t="str">
        <f t="shared" si="7"/>
        <v>51-01608</v>
      </c>
      <c r="B194" s="9" t="s">
        <v>646</v>
      </c>
      <c r="C194" s="124">
        <v>8</v>
      </c>
      <c r="D194" s="124">
        <v>1</v>
      </c>
      <c r="E194" s="125">
        <v>141838.75</v>
      </c>
      <c r="F194" s="125">
        <v>4059.92</v>
      </c>
      <c r="G194" s="125">
        <v>0</v>
      </c>
      <c r="H194" s="125">
        <v>0</v>
      </c>
      <c r="I194" s="125">
        <v>0</v>
      </c>
      <c r="J194" s="125">
        <v>0</v>
      </c>
      <c r="K194" s="125">
        <v>0</v>
      </c>
    </row>
    <row r="195" spans="1:11" x14ac:dyDescent="0.2">
      <c r="A195" s="9" t="str">
        <f t="shared" si="7"/>
        <v>51-02808</v>
      </c>
      <c r="B195" s="9" t="s">
        <v>647</v>
      </c>
      <c r="C195" s="124">
        <v>8</v>
      </c>
      <c r="D195" s="124">
        <v>1</v>
      </c>
      <c r="E195" s="125">
        <v>266902.53000000003</v>
      </c>
      <c r="F195" s="125">
        <v>12517.11</v>
      </c>
      <c r="G195" s="125">
        <v>0</v>
      </c>
      <c r="H195" s="125">
        <v>0</v>
      </c>
      <c r="I195" s="125">
        <v>0</v>
      </c>
      <c r="J195" s="125">
        <v>0</v>
      </c>
      <c r="K195" s="125">
        <v>0</v>
      </c>
    </row>
    <row r="196" spans="1:11" x14ac:dyDescent="0.2">
      <c r="A196" s="9" t="str">
        <f t="shared" si="7"/>
        <v>51-04108</v>
      </c>
      <c r="B196" s="9" t="s">
        <v>648</v>
      </c>
      <c r="C196" s="124">
        <v>8</v>
      </c>
      <c r="D196" s="124">
        <v>1</v>
      </c>
      <c r="E196" s="125">
        <v>461538.77</v>
      </c>
      <c r="F196" s="125">
        <v>5967.73</v>
      </c>
      <c r="G196" s="125">
        <v>0</v>
      </c>
      <c r="H196" s="125">
        <v>0</v>
      </c>
      <c r="I196" s="125">
        <v>0</v>
      </c>
      <c r="J196" s="125">
        <v>0</v>
      </c>
      <c r="K196" s="125">
        <v>0</v>
      </c>
    </row>
    <row r="197" spans="1:11" x14ac:dyDescent="0.2">
      <c r="A197" s="9" t="str">
        <f t="shared" si="7"/>
        <v>51-07008</v>
      </c>
      <c r="B197" s="9" t="s">
        <v>649</v>
      </c>
      <c r="C197" s="124">
        <v>8</v>
      </c>
      <c r="D197" s="124">
        <v>1</v>
      </c>
      <c r="E197" s="125">
        <v>629453.84</v>
      </c>
      <c r="F197" s="125">
        <v>23731.32</v>
      </c>
      <c r="G197" s="125">
        <v>0</v>
      </c>
      <c r="H197" s="125">
        <v>0</v>
      </c>
      <c r="I197" s="125">
        <v>0</v>
      </c>
      <c r="J197" s="125">
        <v>0</v>
      </c>
      <c r="K197" s="125">
        <v>0</v>
      </c>
    </row>
    <row r="198" spans="1:11" x14ac:dyDescent="0.2">
      <c r="A198" s="9" t="str">
        <f t="shared" si="7"/>
        <v>51-16008</v>
      </c>
      <c r="B198" s="9" t="s">
        <v>650</v>
      </c>
      <c r="C198" s="124">
        <v>8</v>
      </c>
      <c r="D198" s="124">
        <v>1</v>
      </c>
      <c r="E198" s="125">
        <v>0</v>
      </c>
      <c r="F198" s="125">
        <v>0</v>
      </c>
      <c r="G198" s="125">
        <v>0</v>
      </c>
      <c r="H198" s="125">
        <v>0</v>
      </c>
      <c r="I198" s="125">
        <v>0</v>
      </c>
      <c r="J198" s="125">
        <v>0</v>
      </c>
      <c r="K198" s="125">
        <v>0</v>
      </c>
    </row>
    <row r="199" spans="1:11" x14ac:dyDescent="0.2">
      <c r="A199" s="9" t="str">
        <f t="shared" si="7"/>
        <v>51-70108</v>
      </c>
      <c r="B199" s="9" t="s">
        <v>1083</v>
      </c>
      <c r="C199" s="124">
        <v>8</v>
      </c>
      <c r="D199" s="124">
        <v>1</v>
      </c>
      <c r="E199" s="125">
        <v>0</v>
      </c>
      <c r="F199" s="125">
        <v>0</v>
      </c>
      <c r="G199" s="125">
        <v>0</v>
      </c>
      <c r="H199" s="125">
        <v>37584.730000000003</v>
      </c>
      <c r="I199" s="125">
        <v>24688.15</v>
      </c>
      <c r="J199" s="125">
        <v>0</v>
      </c>
      <c r="K199" s="125">
        <v>0</v>
      </c>
    </row>
    <row r="200" spans="1:11" x14ac:dyDescent="0.2">
      <c r="A200" s="9" t="str">
        <f t="shared" ref="A200:A209" si="8">B200&amp;TEXT(C200,"00")</f>
        <v>51-70808</v>
      </c>
      <c r="B200" s="9" t="s">
        <v>684</v>
      </c>
      <c r="C200" s="124">
        <v>8</v>
      </c>
      <c r="D200" s="124">
        <v>1</v>
      </c>
      <c r="E200" s="125">
        <v>0</v>
      </c>
      <c r="F200" s="125">
        <v>0</v>
      </c>
      <c r="G200" s="125">
        <v>0</v>
      </c>
      <c r="H200" s="125">
        <v>0</v>
      </c>
      <c r="I200" s="125">
        <v>0</v>
      </c>
      <c r="J200" s="125">
        <v>0</v>
      </c>
      <c r="K200" s="125">
        <v>0</v>
      </c>
    </row>
    <row r="201" spans="1:11" x14ac:dyDescent="0.2">
      <c r="A201" s="9" t="str">
        <f t="shared" si="8"/>
        <v>52-02508</v>
      </c>
      <c r="B201" s="9" t="s">
        <v>652</v>
      </c>
      <c r="C201" s="124">
        <v>8</v>
      </c>
      <c r="D201" s="124">
        <v>1</v>
      </c>
      <c r="E201" s="125">
        <v>172889.42</v>
      </c>
      <c r="F201" s="125">
        <v>12040.16</v>
      </c>
      <c r="G201" s="125">
        <v>0</v>
      </c>
      <c r="H201" s="125">
        <v>0</v>
      </c>
      <c r="I201" s="125">
        <v>0</v>
      </c>
      <c r="J201" s="125">
        <v>0</v>
      </c>
      <c r="K201" s="125">
        <v>0</v>
      </c>
    </row>
    <row r="202" spans="1:11" x14ac:dyDescent="0.2">
      <c r="A202" s="9" t="str">
        <f t="shared" si="8"/>
        <v>52-03808</v>
      </c>
      <c r="B202" s="9" t="s">
        <v>653</v>
      </c>
      <c r="C202" s="124">
        <v>8</v>
      </c>
      <c r="D202" s="124">
        <v>1</v>
      </c>
      <c r="E202" s="125">
        <v>353891.48</v>
      </c>
      <c r="F202" s="125">
        <v>24592.16</v>
      </c>
      <c r="G202" s="125">
        <v>0</v>
      </c>
      <c r="H202" s="125">
        <v>0</v>
      </c>
      <c r="I202" s="125">
        <v>0</v>
      </c>
      <c r="J202" s="125">
        <v>0</v>
      </c>
      <c r="K202" s="125">
        <v>0</v>
      </c>
    </row>
    <row r="203" spans="1:11" x14ac:dyDescent="0.2">
      <c r="A203" s="9" t="str">
        <f t="shared" si="8"/>
        <v>53-00208</v>
      </c>
      <c r="B203" s="9" t="s">
        <v>654</v>
      </c>
      <c r="C203" s="124">
        <v>8</v>
      </c>
      <c r="D203" s="124">
        <v>1</v>
      </c>
      <c r="E203" s="125">
        <v>73239.850000000006</v>
      </c>
      <c r="F203" s="125">
        <v>16309.47</v>
      </c>
      <c r="G203" s="125">
        <v>0</v>
      </c>
      <c r="H203" s="125">
        <v>0</v>
      </c>
      <c r="I203" s="125">
        <v>0</v>
      </c>
      <c r="J203" s="125">
        <v>0</v>
      </c>
      <c r="K203" s="125">
        <v>0</v>
      </c>
    </row>
    <row r="204" spans="1:11" x14ac:dyDescent="0.2">
      <c r="A204" s="9" t="str">
        <f t="shared" si="8"/>
        <v>53-00608</v>
      </c>
      <c r="B204" s="9" t="s">
        <v>655</v>
      </c>
      <c r="C204" s="124">
        <v>8</v>
      </c>
      <c r="D204" s="124">
        <v>1</v>
      </c>
      <c r="E204" s="125">
        <v>342813.56</v>
      </c>
      <c r="F204" s="125">
        <v>6840.2</v>
      </c>
      <c r="G204" s="125">
        <v>0</v>
      </c>
      <c r="H204" s="125">
        <v>0</v>
      </c>
      <c r="I204" s="125">
        <v>0</v>
      </c>
      <c r="J204" s="125">
        <v>0</v>
      </c>
      <c r="K204" s="125">
        <v>0</v>
      </c>
    </row>
    <row r="205" spans="1:11" x14ac:dyDescent="0.2">
      <c r="A205" s="9" t="str">
        <f t="shared" si="8"/>
        <v>53-00708</v>
      </c>
      <c r="B205" s="9" t="s">
        <v>1121</v>
      </c>
      <c r="C205" s="124">
        <v>8</v>
      </c>
      <c r="D205" s="124">
        <v>1</v>
      </c>
      <c r="E205" s="125">
        <v>5400328.2800000003</v>
      </c>
      <c r="F205" s="125">
        <v>30117.84</v>
      </c>
      <c r="G205" s="125">
        <v>0</v>
      </c>
      <c r="H205" s="125">
        <v>0</v>
      </c>
      <c r="I205" s="125">
        <v>0</v>
      </c>
      <c r="J205" s="125">
        <v>0</v>
      </c>
      <c r="K205" s="125">
        <v>0</v>
      </c>
    </row>
    <row r="206" spans="1:11" x14ac:dyDescent="0.2">
      <c r="A206" s="9" t="str">
        <f t="shared" si="8"/>
        <v>53-01508</v>
      </c>
      <c r="B206" s="9" t="s">
        <v>656</v>
      </c>
      <c r="C206" s="124">
        <v>8</v>
      </c>
      <c r="D206" s="124">
        <v>1</v>
      </c>
      <c r="E206" s="125">
        <v>0</v>
      </c>
      <c r="F206" s="125">
        <v>14041.03</v>
      </c>
      <c r="G206" s="125">
        <v>0</v>
      </c>
      <c r="H206" s="125">
        <v>0</v>
      </c>
      <c r="I206" s="125">
        <v>0</v>
      </c>
      <c r="J206" s="125">
        <v>0</v>
      </c>
      <c r="K206" s="125">
        <v>0</v>
      </c>
    </row>
    <row r="207" spans="1:11" x14ac:dyDescent="0.2">
      <c r="A207" s="9" t="str">
        <f t="shared" si="8"/>
        <v>53-09908</v>
      </c>
      <c r="B207" s="9" t="s">
        <v>657</v>
      </c>
      <c r="C207" s="124">
        <v>8</v>
      </c>
      <c r="D207" s="124">
        <v>1</v>
      </c>
      <c r="E207" s="125">
        <v>107143.65</v>
      </c>
      <c r="F207" s="125">
        <v>19450.38</v>
      </c>
      <c r="G207" s="125">
        <v>0</v>
      </c>
      <c r="H207" s="125">
        <v>0</v>
      </c>
      <c r="I207" s="125">
        <v>0</v>
      </c>
      <c r="J207" s="125">
        <v>0</v>
      </c>
      <c r="K207" s="125">
        <v>0</v>
      </c>
    </row>
    <row r="208" spans="1:11" x14ac:dyDescent="0.2">
      <c r="A208" s="9" t="str">
        <f t="shared" si="8"/>
        <v>53-35208</v>
      </c>
      <c r="B208" s="9" t="s">
        <v>1152</v>
      </c>
      <c r="C208" s="124">
        <v>8</v>
      </c>
      <c r="D208" s="124">
        <v>1</v>
      </c>
      <c r="E208" s="125">
        <v>45031.34</v>
      </c>
      <c r="F208" s="125">
        <v>0</v>
      </c>
      <c r="G208" s="125">
        <v>0</v>
      </c>
      <c r="H208" s="125">
        <v>0</v>
      </c>
      <c r="I208" s="125">
        <v>0</v>
      </c>
      <c r="J208" s="125">
        <v>0</v>
      </c>
      <c r="K208" s="125">
        <v>0</v>
      </c>
    </row>
    <row r="209" spans="1:11" x14ac:dyDescent="0.2">
      <c r="A209" s="9" t="str">
        <f t="shared" si="8"/>
        <v>53-72008</v>
      </c>
      <c r="B209" s="9" t="s">
        <v>686</v>
      </c>
      <c r="C209" s="124">
        <v>8</v>
      </c>
      <c r="D209" s="124">
        <v>1</v>
      </c>
      <c r="E209" s="125">
        <v>0</v>
      </c>
      <c r="F209" s="125">
        <v>0</v>
      </c>
      <c r="G209" s="125">
        <v>0</v>
      </c>
      <c r="H209" s="125">
        <v>0</v>
      </c>
      <c r="I209" s="125">
        <v>0</v>
      </c>
      <c r="J209" s="125">
        <v>0</v>
      </c>
      <c r="K209" s="125">
        <v>0</v>
      </c>
    </row>
  </sheetData>
  <autoFilter ref="A2:L2" xr:uid="{00000000-0009-0000-0000-000007000000}"/>
  <phoneticPr fontId="8"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C43"/>
  <sheetViews>
    <sheetView workbookViewId="0">
      <selection activeCell="G4" sqref="G4"/>
    </sheetView>
  </sheetViews>
  <sheetFormatPr defaultColWidth="9.109375" defaultRowHeight="13.2" x14ac:dyDescent="0.25"/>
  <cols>
    <col min="1" max="1" width="7.33203125" bestFit="1" customWidth="1"/>
    <col min="2" max="2" width="28.88671875" bestFit="1" customWidth="1"/>
    <col min="3" max="3" width="6.5546875" bestFit="1" customWidth="1"/>
  </cols>
  <sheetData>
    <row r="1" spans="1:3" x14ac:dyDescent="0.25">
      <c r="A1" s="132" t="s">
        <v>340</v>
      </c>
      <c r="B1" s="80" t="s">
        <v>341</v>
      </c>
      <c r="C1" s="80" t="s">
        <v>0</v>
      </c>
    </row>
    <row r="2" spans="1:3" x14ac:dyDescent="0.25">
      <c r="A2" s="4" t="s">
        <v>856</v>
      </c>
      <c r="B2" s="4" t="s">
        <v>884</v>
      </c>
      <c r="C2" s="4">
        <v>0</v>
      </c>
    </row>
    <row r="3" spans="1:3" x14ac:dyDescent="0.25">
      <c r="A3" s="4" t="s">
        <v>1152</v>
      </c>
      <c r="B3" s="4" t="s">
        <v>1154</v>
      </c>
      <c r="C3" s="4">
        <v>0</v>
      </c>
    </row>
    <row r="4" spans="1:3" x14ac:dyDescent="0.25">
      <c r="A4" s="4" t="s">
        <v>855</v>
      </c>
      <c r="B4" s="4" t="s">
        <v>815</v>
      </c>
      <c r="C4" s="4">
        <v>0</v>
      </c>
    </row>
    <row r="5" spans="1:3" x14ac:dyDescent="0.25">
      <c r="A5" s="4" t="s">
        <v>854</v>
      </c>
      <c r="B5" s="4" t="s">
        <v>696</v>
      </c>
      <c r="C5" s="4">
        <v>0</v>
      </c>
    </row>
    <row r="6" spans="1:3" x14ac:dyDescent="0.25">
      <c r="A6" s="4" t="s">
        <v>853</v>
      </c>
      <c r="B6" s="4" t="s">
        <v>818</v>
      </c>
      <c r="C6" s="4">
        <v>0</v>
      </c>
    </row>
    <row r="7" spans="1:3" x14ac:dyDescent="0.25">
      <c r="A7" s="4" t="s">
        <v>852</v>
      </c>
      <c r="B7" s="4" t="s">
        <v>1054</v>
      </c>
      <c r="C7" s="4">
        <v>0</v>
      </c>
    </row>
    <row r="8" spans="1:3" x14ac:dyDescent="0.25">
      <c r="A8" s="4" t="s">
        <v>1091</v>
      </c>
      <c r="B8" s="4" t="s">
        <v>1092</v>
      </c>
      <c r="C8" s="4">
        <v>0</v>
      </c>
    </row>
    <row r="9" spans="1:3" x14ac:dyDescent="0.25">
      <c r="A9" s="4" t="s">
        <v>851</v>
      </c>
      <c r="B9" s="4" t="s">
        <v>1061</v>
      </c>
      <c r="C9" s="4">
        <v>0</v>
      </c>
    </row>
    <row r="10" spans="1:3" x14ac:dyDescent="0.25">
      <c r="A10" s="4" t="s">
        <v>850</v>
      </c>
      <c r="B10" s="4" t="s">
        <v>817</v>
      </c>
      <c r="C10" s="4">
        <v>0</v>
      </c>
    </row>
    <row r="11" spans="1:3" x14ac:dyDescent="0.25">
      <c r="A11" s="4" t="s">
        <v>849</v>
      </c>
      <c r="B11" s="4" t="s">
        <v>816</v>
      </c>
      <c r="C11" s="4">
        <v>0</v>
      </c>
    </row>
    <row r="12" spans="1:3" x14ac:dyDescent="0.25">
      <c r="A12" s="4" t="s">
        <v>658</v>
      </c>
      <c r="B12" s="4" t="s">
        <v>1026</v>
      </c>
      <c r="C12" s="4">
        <v>7</v>
      </c>
    </row>
    <row r="13" spans="1:3" x14ac:dyDescent="0.25">
      <c r="A13" s="4" t="s">
        <v>659</v>
      </c>
      <c r="B13" s="4" t="s">
        <v>1027</v>
      </c>
      <c r="C13" s="4">
        <v>7</v>
      </c>
    </row>
    <row r="14" spans="1:3" x14ac:dyDescent="0.25">
      <c r="A14" s="4" t="s">
        <v>660</v>
      </c>
      <c r="B14" s="4" t="s">
        <v>1028</v>
      </c>
      <c r="C14" s="4">
        <v>7</v>
      </c>
    </row>
    <row r="15" spans="1:3" x14ac:dyDescent="0.25">
      <c r="A15" s="4" t="s">
        <v>661</v>
      </c>
      <c r="B15" s="4" t="s">
        <v>1030</v>
      </c>
      <c r="C15" s="4">
        <v>7</v>
      </c>
    </row>
    <row r="16" spans="1:3" x14ac:dyDescent="0.25">
      <c r="A16" s="4" t="s">
        <v>662</v>
      </c>
      <c r="B16" s="4" t="s">
        <v>1031</v>
      </c>
      <c r="C16" s="4">
        <v>7</v>
      </c>
    </row>
    <row r="17" spans="1:3" x14ac:dyDescent="0.25">
      <c r="A17" s="4" t="s">
        <v>663</v>
      </c>
      <c r="B17" s="4" t="s">
        <v>1032</v>
      </c>
      <c r="C17" s="4">
        <v>7</v>
      </c>
    </row>
    <row r="18" spans="1:3" x14ac:dyDescent="0.25">
      <c r="A18" s="4" t="s">
        <v>664</v>
      </c>
      <c r="B18" s="4" t="s">
        <v>1033</v>
      </c>
      <c r="C18" s="4">
        <v>7</v>
      </c>
    </row>
    <row r="19" spans="1:3" x14ac:dyDescent="0.25">
      <c r="A19" s="4" t="s">
        <v>665</v>
      </c>
      <c r="B19" s="4" t="s">
        <v>1034</v>
      </c>
      <c r="C19" s="4">
        <v>7</v>
      </c>
    </row>
    <row r="20" spans="1:3" x14ac:dyDescent="0.25">
      <c r="A20" s="4" t="s">
        <v>666</v>
      </c>
      <c r="B20" s="4" t="s">
        <v>1035</v>
      </c>
      <c r="C20" s="4">
        <v>7</v>
      </c>
    </row>
    <row r="21" spans="1:3" x14ac:dyDescent="0.25">
      <c r="A21" s="4" t="s">
        <v>667</v>
      </c>
      <c r="B21" s="4" t="s">
        <v>1036</v>
      </c>
      <c r="C21" s="4">
        <v>7</v>
      </c>
    </row>
    <row r="22" spans="1:3" x14ac:dyDescent="0.25">
      <c r="A22" s="4" t="s">
        <v>668</v>
      </c>
      <c r="B22" s="4" t="s">
        <v>1037</v>
      </c>
      <c r="C22" s="4">
        <v>7</v>
      </c>
    </row>
    <row r="23" spans="1:3" x14ac:dyDescent="0.25">
      <c r="A23" s="4" t="s">
        <v>669</v>
      </c>
      <c r="B23" s="4" t="s">
        <v>1055</v>
      </c>
      <c r="C23" s="4">
        <v>7</v>
      </c>
    </row>
    <row r="24" spans="1:3" x14ac:dyDescent="0.25">
      <c r="A24" s="4" t="s">
        <v>670</v>
      </c>
      <c r="B24" s="4" t="s">
        <v>1038</v>
      </c>
      <c r="C24" s="4">
        <v>7</v>
      </c>
    </row>
    <row r="25" spans="1:3" x14ac:dyDescent="0.25">
      <c r="A25" s="4" t="s">
        <v>671</v>
      </c>
      <c r="B25" s="4" t="s">
        <v>1039</v>
      </c>
      <c r="C25" s="4">
        <v>7</v>
      </c>
    </row>
    <row r="26" spans="1:3" x14ac:dyDescent="0.25">
      <c r="A26" s="4" t="s">
        <v>672</v>
      </c>
      <c r="B26" s="4" t="s">
        <v>1040</v>
      </c>
      <c r="C26" s="4">
        <v>7</v>
      </c>
    </row>
    <row r="27" spans="1:3" x14ac:dyDescent="0.25">
      <c r="A27" s="4" t="s">
        <v>673</v>
      </c>
      <c r="B27" s="4" t="s">
        <v>1041</v>
      </c>
      <c r="C27" s="4">
        <v>7</v>
      </c>
    </row>
    <row r="28" spans="1:3" x14ac:dyDescent="0.25">
      <c r="A28" s="4" t="s">
        <v>674</v>
      </c>
      <c r="B28" s="4" t="s">
        <v>1057</v>
      </c>
      <c r="C28" s="4">
        <v>7</v>
      </c>
    </row>
    <row r="29" spans="1:3" x14ac:dyDescent="0.25">
      <c r="A29" s="4" t="s">
        <v>675</v>
      </c>
      <c r="B29" s="4" t="s">
        <v>1042</v>
      </c>
      <c r="C29" s="4">
        <v>7</v>
      </c>
    </row>
    <row r="30" spans="1:3" x14ac:dyDescent="0.25">
      <c r="A30" s="4" t="s">
        <v>676</v>
      </c>
      <c r="B30" s="4" t="s">
        <v>1043</v>
      </c>
      <c r="C30" s="4">
        <v>7</v>
      </c>
    </row>
    <row r="31" spans="1:3" x14ac:dyDescent="0.25">
      <c r="A31" s="4" t="s">
        <v>677</v>
      </c>
      <c r="B31" s="4" t="s">
        <v>1044</v>
      </c>
      <c r="C31" s="4">
        <v>7</v>
      </c>
    </row>
    <row r="32" spans="1:3" x14ac:dyDescent="0.25">
      <c r="A32" s="4" t="s">
        <v>678</v>
      </c>
      <c r="B32" s="4" t="s">
        <v>1045</v>
      </c>
      <c r="C32" s="4">
        <v>7</v>
      </c>
    </row>
    <row r="33" spans="1:3" x14ac:dyDescent="0.25">
      <c r="A33" s="4" t="s">
        <v>679</v>
      </c>
      <c r="B33" s="4" t="s">
        <v>1046</v>
      </c>
      <c r="C33" s="4">
        <v>7</v>
      </c>
    </row>
    <row r="34" spans="1:3" x14ac:dyDescent="0.25">
      <c r="A34" s="4" t="s">
        <v>680</v>
      </c>
      <c r="B34" s="4" t="s">
        <v>1058</v>
      </c>
      <c r="C34" s="4">
        <v>7</v>
      </c>
    </row>
    <row r="35" spans="1:3" x14ac:dyDescent="0.25">
      <c r="A35" s="4" t="s">
        <v>681</v>
      </c>
      <c r="B35" s="4" t="s">
        <v>1047</v>
      </c>
      <c r="C35" s="4">
        <v>7</v>
      </c>
    </row>
    <row r="36" spans="1:3" x14ac:dyDescent="0.25">
      <c r="A36" s="4" t="s">
        <v>841</v>
      </c>
      <c r="B36" s="4" t="s">
        <v>1048</v>
      </c>
      <c r="C36" s="4">
        <v>7</v>
      </c>
    </row>
    <row r="37" spans="1:3" x14ac:dyDescent="0.25">
      <c r="A37" s="4" t="s">
        <v>840</v>
      </c>
      <c r="B37" s="4" t="s">
        <v>1059</v>
      </c>
      <c r="C37" s="4">
        <v>7</v>
      </c>
    </row>
    <row r="38" spans="1:3" x14ac:dyDescent="0.25">
      <c r="A38" s="4" t="s">
        <v>682</v>
      </c>
      <c r="B38" s="4" t="s">
        <v>1049</v>
      </c>
      <c r="C38" s="4">
        <v>7</v>
      </c>
    </row>
    <row r="39" spans="1:3" x14ac:dyDescent="0.25">
      <c r="A39" s="4" t="s">
        <v>683</v>
      </c>
      <c r="B39" s="4" t="s">
        <v>1050</v>
      </c>
      <c r="C39" s="4">
        <v>7</v>
      </c>
    </row>
    <row r="40" spans="1:3" x14ac:dyDescent="0.25">
      <c r="A40" s="4" t="s">
        <v>1083</v>
      </c>
      <c r="B40" s="4" t="s">
        <v>1085</v>
      </c>
      <c r="C40" s="4">
        <v>7</v>
      </c>
    </row>
    <row r="41" spans="1:3" x14ac:dyDescent="0.25">
      <c r="A41" s="4" t="s">
        <v>684</v>
      </c>
      <c r="B41" s="4" t="s">
        <v>1051</v>
      </c>
      <c r="C41" s="4">
        <v>7</v>
      </c>
    </row>
    <row r="42" spans="1:3" x14ac:dyDescent="0.25">
      <c r="A42" s="4" t="s">
        <v>685</v>
      </c>
      <c r="B42" s="4" t="s">
        <v>1052</v>
      </c>
      <c r="C42" s="4">
        <v>7</v>
      </c>
    </row>
    <row r="43" spans="1:3" x14ac:dyDescent="0.25">
      <c r="A43" s="4" t="s">
        <v>686</v>
      </c>
      <c r="B43" s="4" t="s">
        <v>1053</v>
      </c>
      <c r="C43" s="4">
        <v>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81</vt:i4>
      </vt:variant>
    </vt:vector>
  </HeadingPairs>
  <TitlesOfParts>
    <vt:vector size="91" baseType="lpstr">
      <vt:lpstr>Worksheet</vt:lpstr>
      <vt:lpstr>Payment</vt:lpstr>
      <vt:lpstr>Factors</vt:lpstr>
      <vt:lpstr>Dataset</vt:lpstr>
      <vt:lpstr>Data2</vt:lpstr>
      <vt:lpstr>ImportFileSpec</vt:lpstr>
      <vt:lpstr>Export</vt:lpstr>
      <vt:lpstr>Prior</vt:lpstr>
      <vt:lpstr>Lkp</vt:lpstr>
      <vt:lpstr>Procedure</vt:lpstr>
      <vt:lpstr>_ADM16</vt:lpstr>
      <vt:lpstr>_ADM78</vt:lpstr>
      <vt:lpstr>_ADM912</vt:lpstr>
      <vt:lpstr>AdjAmt</vt:lpstr>
      <vt:lpstr>AdjCode</vt:lpstr>
      <vt:lpstr>ADM</vt:lpstr>
      <vt:lpstr>ADMAltHS</vt:lpstr>
      <vt:lpstr>ADMKg</vt:lpstr>
      <vt:lpstr>ADMPk</vt:lpstr>
      <vt:lpstr>AltMiddleSchool</vt:lpstr>
      <vt:lpstr>Baseline</vt:lpstr>
      <vt:lpstr>Baselinewsu</vt:lpstr>
      <vt:lpstr>BaseRate</vt:lpstr>
      <vt:lpstr>CoDist</vt:lpstr>
      <vt:lpstr>CountyRevenue</vt:lpstr>
      <vt:lpstr>Data1</vt:lpstr>
      <vt:lpstr>Data2</vt:lpstr>
      <vt:lpstr>DateLn</vt:lpstr>
      <vt:lpstr>Dname</vt:lpstr>
      <vt:lpstr>Dtype</vt:lpstr>
      <vt:lpstr>EFB</vt:lpstr>
      <vt:lpstr>ELLLevel1</vt:lpstr>
      <vt:lpstr>ELLLevel2</vt:lpstr>
      <vt:lpstr>ELLLevel3</vt:lpstr>
      <vt:lpstr>ESYSpEd</vt:lpstr>
      <vt:lpstr>Expend</vt:lpstr>
      <vt:lpstr>FactorTable</vt:lpstr>
      <vt:lpstr>FactorTable2</vt:lpstr>
      <vt:lpstr>FactorTableR</vt:lpstr>
      <vt:lpstr>FallEnroll</vt:lpstr>
      <vt:lpstr>FamilyToBus</vt:lpstr>
      <vt:lpstr>FamilyToSchool</vt:lpstr>
      <vt:lpstr>HomeSch</vt:lpstr>
      <vt:lpstr>IncityRides</vt:lpstr>
      <vt:lpstr>K12Buildings</vt:lpstr>
      <vt:lpstr>LgIncityMiles</vt:lpstr>
      <vt:lpstr>LgMiles</vt:lpstr>
      <vt:lpstr>LgRuns</vt:lpstr>
      <vt:lpstr>LgRuralMiles</vt:lpstr>
      <vt:lpstr>Lkp</vt:lpstr>
      <vt:lpstr>LYFallEnroll</vt:lpstr>
      <vt:lpstr>LYOnTime</vt:lpstr>
      <vt:lpstr>MobileHome</vt:lpstr>
      <vt:lpstr>NSLPPercent</vt:lpstr>
      <vt:lpstr>OnTime</vt:lpstr>
      <vt:lpstr>PmtLn</vt:lpstr>
      <vt:lpstr>PmtMonth</vt:lpstr>
      <vt:lpstr>Dataset!Print_Area</vt:lpstr>
      <vt:lpstr>Worksheet!Print_Area</vt:lpstr>
      <vt:lpstr>Dataset!Print_Titles</vt:lpstr>
      <vt:lpstr>ImportFileSpec!Print_Titles</vt:lpstr>
      <vt:lpstr>Payment!Print_Titles</vt:lpstr>
      <vt:lpstr>PYPropertyTaxContribution</vt:lpstr>
      <vt:lpstr>Payment!Query_from_Excel</vt:lpstr>
      <vt:lpstr>REANo</vt:lpstr>
      <vt:lpstr>RECGrossReceipts</vt:lpstr>
      <vt:lpstr>Reorgflag</vt:lpstr>
      <vt:lpstr>ResourceCat</vt:lpstr>
      <vt:lpstr>RuralRides</vt:lpstr>
      <vt:lpstr>SchoolYear</vt:lpstr>
      <vt:lpstr>SIMills</vt:lpstr>
      <vt:lpstr>SmIncityMiles</vt:lpstr>
      <vt:lpstr>SmMiles</vt:lpstr>
      <vt:lpstr>SmRuns</vt:lpstr>
      <vt:lpstr>SmRuralMiles</vt:lpstr>
      <vt:lpstr>SpedNo</vt:lpstr>
      <vt:lpstr>SpedPercent</vt:lpstr>
      <vt:lpstr>SqMiles</vt:lpstr>
      <vt:lpstr>SS</vt:lpstr>
      <vt:lpstr>STVPP</vt:lpstr>
      <vt:lpstr>TaxAdj</vt:lpstr>
      <vt:lpstr>TaxValue</vt:lpstr>
      <vt:lpstr>Telecomm</vt:lpstr>
      <vt:lpstr>TotalMills</vt:lpstr>
      <vt:lpstr>TransCap90</vt:lpstr>
      <vt:lpstr>TuitionRevenue</vt:lpstr>
      <vt:lpstr>USFlood</vt:lpstr>
      <vt:lpstr>VendorID</vt:lpstr>
      <vt:lpstr>VirADM</vt:lpstr>
      <vt:lpstr>wsu</vt:lpstr>
      <vt:lpstr>WSUAdj</vt:lpstr>
    </vt:vector>
  </TitlesOfParts>
  <Company>ND Dept of Public Instruction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Jerry Coleman</dc:creator>
  <cp:lastModifiedBy>Tescher, Adam J.</cp:lastModifiedBy>
  <cp:lastPrinted>2025-12-30T19:20:41Z</cp:lastPrinted>
  <dcterms:created xsi:type="dcterms:W3CDTF">2007-03-12T15:48:47Z</dcterms:created>
  <dcterms:modified xsi:type="dcterms:W3CDTF">2026-06-09T17:59:55Z</dcterms:modified>
</cp:coreProperties>
</file>